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5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7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8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0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1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6.xml" ContentType="application/vnd.openxmlformats-officedocument.themeOverride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2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3.xml" ContentType="application/vnd.openxmlformats-officedocument.themeOverride+xml"/>
  <Override PartName="/xl/drawings/drawing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4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5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6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7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8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9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0.xml" ContentType="application/vnd.openxmlformats-officedocument.themeOverride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1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2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3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4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5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6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37.xml" ContentType="application/vnd.openxmlformats-officedocument.themeOverride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38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39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0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1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2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3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4.xml" ContentType="application/vnd.openxmlformats-officedocument.themeOverride+xml"/>
  <Override PartName="/xl/drawings/drawing8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45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46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47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48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49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0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1.xml" ContentType="application/vnd.openxmlformats-officedocument.themeOverride+xml"/>
  <Override PartName="/xl/drawings/drawing9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2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3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4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55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56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57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58.xml" ContentType="application/vnd.openxmlformats-officedocument.themeOverride+xml"/>
  <Override PartName="/xl/drawings/drawing10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59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0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1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2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3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4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5.xml" ContentType="application/vnd.openxmlformats-officedocument.themeOverride+xml"/>
  <Override PartName="/xl/drawings/drawing11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6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7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68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69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0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1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2.xml" ContentType="application/vnd.openxmlformats-officedocument.themeOverride+xml"/>
  <Override PartName="/xl/drawings/drawing12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3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4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5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76.xml" ContentType="application/vnd.openxmlformats-officedocument.themeOverrid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77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78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79.xml" ContentType="application/vnd.openxmlformats-officedocument.themeOverride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0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1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2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3.xml" ContentType="application/vnd.openxmlformats-officedocument.themeOverrid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4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85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86.xml" ContentType="application/vnd.openxmlformats-officedocument.themeOverride+xml"/>
  <Override PartName="/xl/drawings/drawing14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87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88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89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0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1.xml" ContentType="application/vnd.openxmlformats-officedocument.themeOverrid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2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3.xml" ContentType="application/vnd.openxmlformats-officedocument.themeOverride+xml"/>
  <Override PartName="/xl/drawings/drawing15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4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95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96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97.xml" ContentType="application/vnd.openxmlformats-officedocument.themeOverrid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98.xml" ContentType="application/vnd.openxmlformats-officedocument.themeOverrid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99.xml" ContentType="application/vnd.openxmlformats-officedocument.themeOverrid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0.xml" ContentType="application/vnd.openxmlformats-officedocument.themeOverride+xml"/>
  <Override PartName="/xl/drawings/drawing16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1.xml" ContentType="application/vnd.openxmlformats-officedocument.themeOverrid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2.xml" ContentType="application/vnd.openxmlformats-officedocument.themeOverrid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3.xml" ContentType="application/vnd.openxmlformats-officedocument.themeOverrid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4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05.xml" ContentType="application/vnd.openxmlformats-officedocument.themeOverrid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06.xml" ContentType="application/vnd.openxmlformats-officedocument.themeOverrid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07.xml" ContentType="application/vnd.openxmlformats-officedocument.themeOverride+xml"/>
  <Override PartName="/xl/drawings/drawing17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08.xml" ContentType="application/vnd.openxmlformats-officedocument.themeOverrid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09.xml" ContentType="application/vnd.openxmlformats-officedocument.themeOverrid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0.xml" ContentType="application/vnd.openxmlformats-officedocument.themeOverrid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1.xml" ContentType="application/vnd.openxmlformats-officedocument.themeOverrid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2.xml" ContentType="application/vnd.openxmlformats-officedocument.themeOverrid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3.xml" ContentType="application/vnd.openxmlformats-officedocument.themeOverrid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4.xml" ContentType="application/vnd.openxmlformats-officedocument.themeOverride+xml"/>
  <Override PartName="/xl/drawings/drawing18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15.xml" ContentType="application/vnd.openxmlformats-officedocument.themeOverrid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16.xml" ContentType="application/vnd.openxmlformats-officedocument.themeOverrid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17.xml" ContentType="application/vnd.openxmlformats-officedocument.themeOverrid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18.xml" ContentType="application/vnd.openxmlformats-officedocument.themeOverrid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19.xml" ContentType="application/vnd.openxmlformats-officedocument.themeOverrid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0.xml" ContentType="application/vnd.openxmlformats-officedocument.themeOverrid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1.xml" ContentType="application/vnd.openxmlformats-officedocument.themeOverride+xml"/>
  <Override PartName="/xl/drawings/drawing19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2.xml" ContentType="application/vnd.openxmlformats-officedocument.themeOverrid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3.xml" ContentType="application/vnd.openxmlformats-officedocument.themeOverrid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4.xml" ContentType="application/vnd.openxmlformats-officedocument.themeOverrid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25.xml" ContentType="application/vnd.openxmlformats-officedocument.themeOverrid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26.xml" ContentType="application/vnd.openxmlformats-officedocument.themeOverrid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27.xml" ContentType="application/vnd.openxmlformats-officedocument.themeOverrid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28.xml" ContentType="application/vnd.openxmlformats-officedocument.themeOverride+xml"/>
  <Override PartName="/xl/drawings/drawing20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29.xml" ContentType="application/vnd.openxmlformats-officedocument.themeOverrid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0.xml" ContentType="application/vnd.openxmlformats-officedocument.themeOverrid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1.xml" ContentType="application/vnd.openxmlformats-officedocument.themeOverrid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2.xml" ContentType="application/vnd.openxmlformats-officedocument.themeOverrid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133.xml" ContentType="application/vnd.openxmlformats-officedocument.themeOverrid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theme/themeOverride134.xml" ContentType="application/vnd.openxmlformats-officedocument.themeOverrid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135.xml" ContentType="application/vnd.openxmlformats-officedocument.themeOverride+xml"/>
  <Override PartName="/xl/drawings/drawing21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136.xml" ContentType="application/vnd.openxmlformats-officedocument.themeOverrid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theme/themeOverride137.xml" ContentType="application/vnd.openxmlformats-officedocument.themeOverrid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38.xml" ContentType="application/vnd.openxmlformats-officedocument.themeOverrid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39.xml" ContentType="application/vnd.openxmlformats-officedocument.themeOverrid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40.xml" ContentType="application/vnd.openxmlformats-officedocument.themeOverrid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41.xml" ContentType="application/vnd.openxmlformats-officedocument.themeOverrid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42.xml" ContentType="application/vnd.openxmlformats-officedocument.themeOverride+xml"/>
  <Override PartName="/xl/drawings/drawing22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43.xml" ContentType="application/vnd.openxmlformats-officedocument.themeOverrid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44.xml" ContentType="application/vnd.openxmlformats-officedocument.themeOverrid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45.xml" ContentType="application/vnd.openxmlformats-officedocument.themeOverrid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46.xml" ContentType="application/vnd.openxmlformats-officedocument.themeOverrid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47.xml" ContentType="application/vnd.openxmlformats-officedocument.themeOverrid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48.xml" ContentType="application/vnd.openxmlformats-officedocument.themeOverrid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49.xml" ContentType="application/vnd.openxmlformats-officedocument.themeOverride+xml"/>
  <Override PartName="/xl/drawings/drawing23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50.xml" ContentType="application/vnd.openxmlformats-officedocument.themeOverrid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51.xml" ContentType="application/vnd.openxmlformats-officedocument.themeOverrid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52.xml" ContentType="application/vnd.openxmlformats-officedocument.themeOverrid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53.xml" ContentType="application/vnd.openxmlformats-officedocument.themeOverrid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54.xml" ContentType="application/vnd.openxmlformats-officedocument.themeOverrid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55.xml" ContentType="application/vnd.openxmlformats-officedocument.themeOverrid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56.xml" ContentType="application/vnd.openxmlformats-officedocument.themeOverride+xml"/>
  <Override PartName="/xl/drawings/drawing24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57.xml" ContentType="application/vnd.openxmlformats-officedocument.themeOverrid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58.xml" ContentType="application/vnd.openxmlformats-officedocument.themeOverrid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59.xml" ContentType="application/vnd.openxmlformats-officedocument.themeOverrid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60.xml" ContentType="application/vnd.openxmlformats-officedocument.themeOverrid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61.xml" ContentType="application/vnd.openxmlformats-officedocument.themeOverrid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62.xml" ContentType="application/vnd.openxmlformats-officedocument.themeOverrid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63.xml" ContentType="application/vnd.openxmlformats-officedocument.themeOverride+xml"/>
  <Override PartName="/xl/drawings/drawing25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64.xml" ContentType="application/vnd.openxmlformats-officedocument.themeOverrid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65.xml" ContentType="application/vnd.openxmlformats-officedocument.themeOverrid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66.xml" ContentType="application/vnd.openxmlformats-officedocument.themeOverrid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67.xml" ContentType="application/vnd.openxmlformats-officedocument.themeOverrid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68.xml" ContentType="application/vnd.openxmlformats-officedocument.themeOverrid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69.xml" ContentType="application/vnd.openxmlformats-officedocument.themeOverrid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70.xml" ContentType="application/vnd.openxmlformats-officedocument.themeOverride+xml"/>
  <Override PartName="/xl/drawings/drawing26.xml" ContentType="application/vnd.openxmlformats-officedocument.drawing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71.xml" ContentType="application/vnd.openxmlformats-officedocument.themeOverrid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72.xml" ContentType="application/vnd.openxmlformats-officedocument.themeOverrid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73.xml" ContentType="application/vnd.openxmlformats-officedocument.themeOverrid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74.xml" ContentType="application/vnd.openxmlformats-officedocument.themeOverrid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75.xml" ContentType="application/vnd.openxmlformats-officedocument.themeOverrid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76.xml" ContentType="application/vnd.openxmlformats-officedocument.themeOverrid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77.xml" ContentType="application/vnd.openxmlformats-officedocument.themeOverride+xml"/>
  <Override PartName="/xl/drawings/drawing27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78.xml" ContentType="application/vnd.openxmlformats-officedocument.themeOverrid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79.xml" ContentType="application/vnd.openxmlformats-officedocument.themeOverrid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80.xml" ContentType="application/vnd.openxmlformats-officedocument.themeOverrid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181.xml" ContentType="application/vnd.openxmlformats-officedocument.themeOverrid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182.xml" ContentType="application/vnd.openxmlformats-officedocument.themeOverrid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183.xml" ContentType="application/vnd.openxmlformats-officedocument.themeOverrid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184.xml" ContentType="application/vnd.openxmlformats-officedocument.themeOverride+xml"/>
  <Override PartName="/xl/drawings/drawing28.xml" ContentType="application/vnd.openxmlformats-officedocument.drawing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185.xml" ContentType="application/vnd.openxmlformats-officedocument.themeOverrid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186.xml" ContentType="application/vnd.openxmlformats-officedocument.themeOverrid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187.xml" ContentType="application/vnd.openxmlformats-officedocument.themeOverrid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188.xml" ContentType="application/vnd.openxmlformats-officedocument.themeOverrid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189.xml" ContentType="application/vnd.openxmlformats-officedocument.themeOverrid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theme/themeOverride190.xml" ContentType="application/vnd.openxmlformats-officedocument.themeOverrid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191.xml" ContentType="application/vnd.openxmlformats-officedocument.themeOverrid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drawings/drawing29.xml" ContentType="application/vnd.openxmlformats-officedocument.drawing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theme/themeOverride192.xml" ContentType="application/vnd.openxmlformats-officedocument.themeOverrid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theme/themeOverride193.xml" ContentType="application/vnd.openxmlformats-officedocument.themeOverrid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theme/themeOverride194.xml" ContentType="application/vnd.openxmlformats-officedocument.themeOverrid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theme/themeOverride195.xml" ContentType="application/vnd.openxmlformats-officedocument.themeOverrid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196.xml" ContentType="application/vnd.openxmlformats-officedocument.themeOverrid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theme/themeOverride197.xml" ContentType="application/vnd.openxmlformats-officedocument.themeOverrid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198.xml" ContentType="application/vnd.openxmlformats-officedocument.themeOverride+xml"/>
  <Override PartName="/xl/drawings/drawing30.xml" ContentType="application/vnd.openxmlformats-officedocument.drawing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199.xml" ContentType="application/vnd.openxmlformats-officedocument.themeOverrid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theme/themeOverride200.xml" ContentType="application/vnd.openxmlformats-officedocument.themeOverrid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theme/themeOverride201.xml" ContentType="application/vnd.openxmlformats-officedocument.themeOverrid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theme/themeOverride202.xml" ContentType="application/vnd.openxmlformats-officedocument.themeOverrid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theme/themeOverride203.xml" ContentType="application/vnd.openxmlformats-officedocument.themeOverrid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theme/themeOverride204.xml" ContentType="application/vnd.openxmlformats-officedocument.themeOverrid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theme/themeOverride205.xml" ContentType="application/vnd.openxmlformats-officedocument.themeOverride+xml"/>
  <Override PartName="/xl/drawings/drawing31.xml" ContentType="application/vnd.openxmlformats-officedocument.drawing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theme/themeOverride206.xml" ContentType="application/vnd.openxmlformats-officedocument.themeOverrid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theme/themeOverride207.xml" ContentType="application/vnd.openxmlformats-officedocument.themeOverrid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theme/themeOverride208.xml" ContentType="application/vnd.openxmlformats-officedocument.themeOverrid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theme/themeOverride209.xml" ContentType="application/vnd.openxmlformats-officedocument.themeOverrid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theme/themeOverride210.xml" ContentType="application/vnd.openxmlformats-officedocument.themeOverrid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theme/themeOverride211.xml" ContentType="application/vnd.openxmlformats-officedocument.themeOverrid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theme/themeOverride212.xml" ContentType="application/vnd.openxmlformats-officedocument.themeOverride+xml"/>
  <Override PartName="/xl/drawings/drawing32.xml" ContentType="application/vnd.openxmlformats-officedocument.drawing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theme/themeOverride213.xml" ContentType="application/vnd.openxmlformats-officedocument.themeOverrid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theme/themeOverride214.xml" ContentType="application/vnd.openxmlformats-officedocument.themeOverrid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theme/themeOverride215.xml" ContentType="application/vnd.openxmlformats-officedocument.themeOverrid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theme/themeOverride216.xml" ContentType="application/vnd.openxmlformats-officedocument.themeOverrid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theme/themeOverride217.xml" ContentType="application/vnd.openxmlformats-officedocument.themeOverrid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theme/themeOverride218.xml" ContentType="application/vnd.openxmlformats-officedocument.themeOverrid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theme/themeOverride219.xml" ContentType="application/vnd.openxmlformats-officedocument.themeOverride+xml"/>
  <Override PartName="/xl/drawings/drawing33.xml" ContentType="application/vnd.openxmlformats-officedocument.drawing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theme/themeOverride220.xml" ContentType="application/vnd.openxmlformats-officedocument.themeOverrid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theme/themeOverride221.xml" ContentType="application/vnd.openxmlformats-officedocument.themeOverrid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theme/themeOverride222.xml" ContentType="application/vnd.openxmlformats-officedocument.themeOverrid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theme/themeOverride223.xml" ContentType="application/vnd.openxmlformats-officedocument.themeOverrid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theme/themeOverride224.xml" ContentType="application/vnd.openxmlformats-officedocument.themeOverrid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theme/themeOverride225.xml" ContentType="application/vnd.openxmlformats-officedocument.themeOverrid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theme/themeOverride226.xml" ContentType="application/vnd.openxmlformats-officedocument.themeOverride+xml"/>
  <Override PartName="/xl/drawings/drawing34.xml" ContentType="application/vnd.openxmlformats-officedocument.drawing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theme/themeOverride227.xml" ContentType="application/vnd.openxmlformats-officedocument.themeOverrid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theme/themeOverride228.xml" ContentType="application/vnd.openxmlformats-officedocument.themeOverrid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theme/themeOverride229.xml" ContentType="application/vnd.openxmlformats-officedocument.themeOverrid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theme/themeOverride230.xml" ContentType="application/vnd.openxmlformats-officedocument.themeOverrid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theme/themeOverride231.xml" ContentType="application/vnd.openxmlformats-officedocument.themeOverrid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theme/themeOverride232.xml" ContentType="application/vnd.openxmlformats-officedocument.themeOverrid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theme/themeOverride233.xml" ContentType="application/vnd.openxmlformats-officedocument.themeOverride+xml"/>
  <Override PartName="/xl/drawings/drawing35.xml" ContentType="application/vnd.openxmlformats-officedocument.drawing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theme/themeOverride234.xml" ContentType="application/vnd.openxmlformats-officedocument.themeOverrid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theme/themeOverride235.xml" ContentType="application/vnd.openxmlformats-officedocument.themeOverrid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theme/themeOverride236.xml" ContentType="application/vnd.openxmlformats-officedocument.themeOverrid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theme/themeOverride237.xml" ContentType="application/vnd.openxmlformats-officedocument.themeOverrid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theme/themeOverride238.xml" ContentType="application/vnd.openxmlformats-officedocument.themeOverrid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theme/themeOverride239.xml" ContentType="application/vnd.openxmlformats-officedocument.themeOverrid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theme/themeOverride240.xml" ContentType="application/vnd.openxmlformats-officedocument.themeOverride+xml"/>
  <Override PartName="/xl/drawings/drawing36.xml" ContentType="application/vnd.openxmlformats-officedocument.drawing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theme/themeOverride241.xml" ContentType="application/vnd.openxmlformats-officedocument.themeOverrid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theme/themeOverride242.xml" ContentType="application/vnd.openxmlformats-officedocument.themeOverrid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theme/themeOverride243.xml" ContentType="application/vnd.openxmlformats-officedocument.themeOverrid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theme/themeOverride244.xml" ContentType="application/vnd.openxmlformats-officedocument.themeOverrid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theme/themeOverride245.xml" ContentType="application/vnd.openxmlformats-officedocument.themeOverrid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theme/themeOverride246.xml" ContentType="application/vnd.openxmlformats-officedocument.themeOverrid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theme/themeOverride247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ésar Borja\Desktop\BorjaOnStocks\"/>
    </mc:Choice>
  </mc:AlternateContent>
  <xr:revisionPtr revIDLastSave="0" documentId="13_ncr:1_{E6600CBE-D678-440B-96D2-D7E5B2D655A7}" xr6:coauthVersionLast="47" xr6:coauthVersionMax="47" xr10:uidLastSave="{00000000-0000-0000-0000-000000000000}"/>
  <bookViews>
    <workbookView xWindow="-108" yWindow="312" windowWidth="23256" windowHeight="12156" tabRatio="864" firstSheet="19" activeTab="19" xr2:uid="{0CCFFEF2-5388-4811-8CF5-2CD1DE7E0233}"/>
  </bookViews>
  <sheets>
    <sheet name="Estrutura" sheetId="1" r:id="rId1"/>
    <sheet name="Altri" sheetId="2" r:id="rId2"/>
    <sheet name="BCP" sheetId="3" r:id="rId3"/>
    <sheet name="Benfica SAD" sheetId="4" r:id="rId4"/>
    <sheet name="Cofina" sheetId="5" r:id="rId5"/>
    <sheet name="Conduril" sheetId="7" r:id="rId6"/>
    <sheet name="Corticeira Amorim" sheetId="8" r:id="rId7"/>
    <sheet name="CTT" sheetId="9" r:id="rId8"/>
    <sheet name="EDP" sheetId="10" r:id="rId9"/>
    <sheet name="EDP Renováveis" sheetId="11" r:id="rId10"/>
    <sheet name="Estoril Sol" sheetId="12" r:id="rId11"/>
    <sheet name="Farminveste" sheetId="13" r:id="rId12"/>
    <sheet name="FC Porto SAD" sheetId="14" r:id="rId13"/>
    <sheet name="GALP Energia" sheetId="15" r:id="rId14"/>
    <sheet name="Ibersol" sheetId="16" r:id="rId15"/>
    <sheet name="Impresa" sheetId="17" r:id="rId16"/>
    <sheet name="Inapa" sheetId="18" r:id="rId17"/>
    <sheet name="Jerónimo Martins" sheetId="19" r:id="rId18"/>
    <sheet name="Lisgráfica" sheetId="20" r:id="rId19"/>
    <sheet name="Martifer" sheetId="21" r:id="rId20"/>
    <sheet name="Mota-Engil" sheetId="22" r:id="rId21"/>
    <sheet name="Navigator" sheetId="23" r:id="rId22"/>
    <sheet name="NOS" sheetId="24" r:id="rId23"/>
    <sheet name="Novabase" sheetId="25" r:id="rId24"/>
    <sheet name="Orey Antunes" sheetId="26" r:id="rId25"/>
    <sheet name="Pharol" sheetId="27" r:id="rId26"/>
    <sheet name="Raize" sheetId="28" r:id="rId27"/>
    <sheet name="Ramada" sheetId="29" r:id="rId28"/>
    <sheet name="Reditus" sheetId="30" r:id="rId29"/>
    <sheet name="REN" sheetId="31" r:id="rId30"/>
    <sheet name="Semapa" sheetId="32" r:id="rId31"/>
    <sheet name="Sonaecom" sheetId="36" r:id="rId32"/>
    <sheet name="Sonae SGPS" sheetId="34" r:id="rId33"/>
    <sheet name="Sporting SAD" sheetId="37" r:id="rId34"/>
    <sheet name="Teixeira Duarte" sheetId="38" r:id="rId35"/>
    <sheet name="Vista Alegre Atlantis" sheetId="40" r:id="rId36"/>
    <sheet name="Toyota Caetano" sheetId="39" r:id="rId3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7" i="21" l="1"/>
  <c r="T26" i="21"/>
  <c r="S43" i="17"/>
  <c r="T43" i="17"/>
  <c r="AL67" i="16"/>
  <c r="AK67" i="16"/>
  <c r="AK58" i="16"/>
  <c r="AL58" i="16"/>
  <c r="AK59" i="16"/>
  <c r="AL59" i="16"/>
  <c r="AK60" i="16"/>
  <c r="AL60" i="16"/>
  <c r="AK61" i="16"/>
  <c r="AL61" i="16"/>
  <c r="AK62" i="16"/>
  <c r="AL62" i="16"/>
  <c r="AK63" i="16"/>
  <c r="AL63" i="16"/>
  <c r="AK64" i="16"/>
  <c r="AL64" i="16"/>
  <c r="AK65" i="16"/>
  <c r="AL65" i="16"/>
  <c r="AK66" i="16"/>
  <c r="AL66" i="16"/>
  <c r="AL57" i="16"/>
  <c r="AK57" i="16"/>
  <c r="AA37" i="39"/>
  <c r="AA40" i="39"/>
  <c r="AA41" i="39"/>
  <c r="AA42" i="39"/>
  <c r="AA43" i="39"/>
  <c r="AA45" i="39"/>
  <c r="Z27" i="39"/>
  <c r="Z28" i="39"/>
  <c r="Z29" i="39"/>
  <c r="Z30" i="39" s="1"/>
  <c r="Z31" i="39" s="1"/>
  <c r="Z32" i="39"/>
  <c r="Z33" i="39"/>
  <c r="Z34" i="39"/>
  <c r="Z35" i="39"/>
  <c r="Z36" i="39"/>
  <c r="Z37" i="39"/>
  <c r="Z38" i="39"/>
  <c r="Z39" i="39"/>
  <c r="Z40" i="39"/>
  <c r="Z41" i="39"/>
  <c r="Z42" i="39"/>
  <c r="Z43" i="39"/>
  <c r="Z44" i="39"/>
  <c r="Z45" i="39"/>
  <c r="X45" i="40"/>
  <c r="AD40" i="40"/>
  <c r="AE40" i="40"/>
  <c r="AD41" i="40"/>
  <c r="AE41" i="40"/>
  <c r="AD42" i="40"/>
  <c r="AE42" i="40"/>
  <c r="AD43" i="40"/>
  <c r="AE43" i="40"/>
  <c r="AD44" i="40"/>
  <c r="AE44" i="40"/>
  <c r="AD45" i="40"/>
  <c r="AE45" i="40"/>
  <c r="AD38" i="40"/>
  <c r="AE38" i="40"/>
  <c r="AD39" i="40"/>
  <c r="AE39" i="40"/>
  <c r="AD37" i="40"/>
  <c r="AE37" i="40"/>
  <c r="AD36" i="40"/>
  <c r="AE36" i="40"/>
  <c r="AF36" i="40"/>
  <c r="AG36" i="40"/>
  <c r="AF32" i="40"/>
  <c r="AG32" i="40"/>
  <c r="AF33" i="40"/>
  <c r="AG33" i="40"/>
  <c r="AF34" i="40"/>
  <c r="AG34" i="40"/>
  <c r="AF35" i="40"/>
  <c r="AG35" i="40"/>
  <c r="AE27" i="40"/>
  <c r="AF27" i="40"/>
  <c r="AG27" i="40"/>
  <c r="AH27" i="40"/>
  <c r="AE28" i="40"/>
  <c r="AF28" i="40"/>
  <c r="AG28" i="40"/>
  <c r="AH28" i="40"/>
  <c r="AE26" i="40"/>
  <c r="AF26" i="40"/>
  <c r="AG26" i="40"/>
  <c r="AH26" i="40"/>
  <c r="AN37" i="38"/>
  <c r="AN38" i="38"/>
  <c r="AN39" i="38"/>
  <c r="AN40" i="38"/>
  <c r="AN41" i="38"/>
  <c r="AN42" i="38"/>
  <c r="AN43" i="38"/>
  <c r="AN45" i="38"/>
  <c r="AM27" i="38"/>
  <c r="AM28" i="38"/>
  <c r="AM29" i="38"/>
  <c r="AM30" i="38" s="1"/>
  <c r="AM31" i="38" s="1"/>
  <c r="AM32" i="38"/>
  <c r="AM33" i="38"/>
  <c r="AM34" i="38"/>
  <c r="AM35" i="38"/>
  <c r="AM36" i="38"/>
  <c r="AM37" i="38"/>
  <c r="AM38" i="38"/>
  <c r="AM39" i="38"/>
  <c r="AM40" i="38"/>
  <c r="AM41" i="38"/>
  <c r="AM42" i="38"/>
  <c r="AM43" i="38"/>
  <c r="AM44" i="38"/>
  <c r="AM45" i="38"/>
  <c r="AN26" i="38"/>
  <c r="AO26" i="38"/>
  <c r="AB27" i="37"/>
  <c r="AB28" i="37"/>
  <c r="AB29" i="37"/>
  <c r="AB30" i="37" s="1"/>
  <c r="AB31" i="37" s="1"/>
  <c r="AB32" i="37"/>
  <c r="AB33" i="37"/>
  <c r="AB34" i="37"/>
  <c r="AB35" i="37"/>
  <c r="AB36" i="37"/>
  <c r="AB37" i="37"/>
  <c r="AB38" i="37"/>
  <c r="AB39" i="37"/>
  <c r="AB40" i="37"/>
  <c r="AB41" i="37"/>
  <c r="AB42" i="37"/>
  <c r="AB43" i="37"/>
  <c r="AB44" i="37"/>
  <c r="AB45" i="37"/>
  <c r="AC26" i="37"/>
  <c r="AG46" i="34"/>
  <c r="AH46" i="34"/>
  <c r="AI46" i="34"/>
  <c r="AJ46" i="34"/>
  <c r="AG32" i="34"/>
  <c r="AH32" i="34"/>
  <c r="AI32" i="34"/>
  <c r="AJ32" i="34"/>
  <c r="AG33" i="34"/>
  <c r="AH33" i="34"/>
  <c r="AI33" i="34"/>
  <c r="AJ33" i="34"/>
  <c r="AG34" i="34"/>
  <c r="AH34" i="34"/>
  <c r="AI34" i="34"/>
  <c r="AJ34" i="34"/>
  <c r="AG35" i="34"/>
  <c r="AH35" i="34"/>
  <c r="AI35" i="34"/>
  <c r="AJ35" i="34"/>
  <c r="AG36" i="34"/>
  <c r="AH36" i="34"/>
  <c r="AI36" i="34"/>
  <c r="AJ36" i="34"/>
  <c r="AG26" i="34"/>
  <c r="AG27" i="34" s="1"/>
  <c r="AH26" i="34"/>
  <c r="AI26" i="34"/>
  <c r="AJ26" i="34"/>
  <c r="AH27" i="34"/>
  <c r="AI27" i="34"/>
  <c r="AJ27" i="34"/>
  <c r="AG28" i="34"/>
  <c r="AH28" i="34"/>
  <c r="AI28" i="34"/>
  <c r="AJ28" i="34"/>
  <c r="AA42" i="34"/>
  <c r="Z43" i="34"/>
  <c r="Z29" i="34"/>
  <c r="Z30" i="34"/>
  <c r="Z31" i="34" s="1"/>
  <c r="Z29" i="36"/>
  <c r="Z30" i="36"/>
  <c r="Z37" i="36"/>
  <c r="Z38" i="36"/>
  <c r="Z39" i="36"/>
  <c r="Z40" i="36"/>
  <c r="Z41" i="36"/>
  <c r="Z42" i="36"/>
  <c r="Z43" i="36"/>
  <c r="Z45" i="36"/>
  <c r="AA26" i="36"/>
  <c r="AE46" i="32"/>
  <c r="AF46" i="32"/>
  <c r="AG46" i="32"/>
  <c r="AE37" i="32"/>
  <c r="AE38" i="32"/>
  <c r="AE39" i="32"/>
  <c r="AE40" i="32"/>
  <c r="AE41" i="32"/>
  <c r="AE42" i="32"/>
  <c r="AE43" i="32"/>
  <c r="AE44" i="32"/>
  <c r="AE45" i="32"/>
  <c r="AF32" i="32"/>
  <c r="AG32" i="32"/>
  <c r="AF33" i="32"/>
  <c r="AG33" i="32"/>
  <c r="AF34" i="32"/>
  <c r="AG34" i="32"/>
  <c r="AF35" i="32"/>
  <c r="AG35" i="32"/>
  <c r="AF36" i="32"/>
  <c r="AG36" i="32"/>
  <c r="AE30" i="32"/>
  <c r="AF26" i="32"/>
  <c r="AF27" i="32" s="1"/>
  <c r="AG26" i="32"/>
  <c r="AG27" i="32" s="1"/>
  <c r="S37" i="31"/>
  <c r="S38" i="31"/>
  <c r="S39" i="31"/>
  <c r="S40" i="31"/>
  <c r="S41" i="31"/>
  <c r="S42" i="31"/>
  <c r="S43" i="31"/>
  <c r="S44" i="31"/>
  <c r="S45" i="31"/>
  <c r="S30" i="31"/>
  <c r="S31" i="31"/>
  <c r="AE27" i="30"/>
  <c r="AE28" i="30"/>
  <c r="AE29" i="30"/>
  <c r="AE30" i="30"/>
  <c r="AE31" i="30"/>
  <c r="AE32" i="30"/>
  <c r="AE33" i="30"/>
  <c r="AE35" i="30"/>
  <c r="AE36" i="30"/>
  <c r="AE37" i="30"/>
  <c r="AE38" i="30"/>
  <c r="AE39" i="30"/>
  <c r="AE40" i="30"/>
  <c r="AE41" i="30"/>
  <c r="AE42" i="30"/>
  <c r="AE43" i="30"/>
  <c r="AE44" i="30"/>
  <c r="AE45" i="30"/>
  <c r="AF26" i="30"/>
  <c r="AG26" i="30"/>
  <c r="S46" i="29"/>
  <c r="T46" i="29"/>
  <c r="R38" i="29"/>
  <c r="R39" i="29"/>
  <c r="R40" i="29"/>
  <c r="R41" i="29"/>
  <c r="R42" i="29"/>
  <c r="R43" i="29"/>
  <c r="R44" i="29"/>
  <c r="R45" i="29"/>
  <c r="R37" i="29"/>
  <c r="T26" i="29"/>
  <c r="T27" i="29" s="1"/>
  <c r="S32" i="29"/>
  <c r="T32" i="29"/>
  <c r="S33" i="29"/>
  <c r="T33" i="29"/>
  <c r="S34" i="29"/>
  <c r="T34" i="29"/>
  <c r="S35" i="29"/>
  <c r="T35" i="29"/>
  <c r="S36" i="29"/>
  <c r="R29" i="29"/>
  <c r="R30" i="29"/>
  <c r="J26" i="28"/>
  <c r="K26" i="28"/>
  <c r="AE40" i="27"/>
  <c r="AE41" i="27"/>
  <c r="AE42" i="27"/>
  <c r="AE43" i="27"/>
  <c r="AE45" i="27"/>
  <c r="Z46" i="25"/>
  <c r="AA46" i="25"/>
  <c r="AB46" i="25"/>
  <c r="Z37" i="25"/>
  <c r="Z38" i="25"/>
  <c r="Z39" i="25"/>
  <c r="Z40" i="25"/>
  <c r="Z41" i="25"/>
  <c r="Z42" i="25"/>
  <c r="Z43" i="25"/>
  <c r="Z44" i="25"/>
  <c r="Z45" i="25"/>
  <c r="AA38" i="24"/>
  <c r="AA39" i="24"/>
  <c r="AA40" i="24"/>
  <c r="AA41" i="24"/>
  <c r="AA42" i="24"/>
  <c r="AA43" i="24"/>
  <c r="AA44" i="24"/>
  <c r="AA45" i="24"/>
  <c r="AA37" i="24"/>
  <c r="AA30" i="24"/>
  <c r="AF46" i="23"/>
  <c r="AG46" i="23"/>
  <c r="AE38" i="23"/>
  <c r="AE39" i="23"/>
  <c r="AE40" i="23"/>
  <c r="AE41" i="23"/>
  <c r="AE42" i="23"/>
  <c r="AE43" i="23"/>
  <c r="AE44" i="23"/>
  <c r="AE45" i="23"/>
  <c r="AE37" i="23"/>
  <c r="AF36" i="23"/>
  <c r="AG36" i="23"/>
  <c r="AG32" i="23"/>
  <c r="AH32" i="23"/>
  <c r="AG33" i="23"/>
  <c r="AG34" i="23"/>
  <c r="AG35" i="23"/>
  <c r="AF27" i="23"/>
  <c r="AG27" i="23"/>
  <c r="AH27" i="23"/>
  <c r="AF28" i="23"/>
  <c r="AG28" i="23"/>
  <c r="AH28" i="23"/>
  <c r="AF26" i="23"/>
  <c r="AG26" i="23"/>
  <c r="AH26" i="23"/>
  <c r="AG26" i="22"/>
  <c r="AG27" i="22" s="1"/>
  <c r="AF46" i="22"/>
  <c r="AG46" i="22"/>
  <c r="AE37" i="22"/>
  <c r="AE38" i="22"/>
  <c r="AE39" i="22"/>
  <c r="AE40" i="22"/>
  <c r="AE41" i="22"/>
  <c r="AE42" i="22"/>
  <c r="AE43" i="22"/>
  <c r="AE44" i="22"/>
  <c r="AE45" i="22"/>
  <c r="AE30" i="22"/>
  <c r="R27" i="21"/>
  <c r="R28" i="21"/>
  <c r="R29" i="21"/>
  <c r="R44" i="21" s="1"/>
  <c r="R30" i="21"/>
  <c r="R31" i="21" s="1"/>
  <c r="R32" i="21"/>
  <c r="R33" i="21"/>
  <c r="R34" i="21"/>
  <c r="R35" i="21"/>
  <c r="R36" i="21"/>
  <c r="R37" i="21"/>
  <c r="R38" i="21"/>
  <c r="R39" i="21"/>
  <c r="R40" i="21"/>
  <c r="R41" i="21"/>
  <c r="R42" i="21"/>
  <c r="R43" i="21"/>
  <c r="R45" i="21"/>
  <c r="AF26" i="20"/>
  <c r="AD27" i="20"/>
  <c r="AD28" i="20"/>
  <c r="AD29" i="20"/>
  <c r="AD30" i="20" s="1"/>
  <c r="AD31" i="20" s="1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F32" i="19"/>
  <c r="AG32" i="19"/>
  <c r="AH32" i="19"/>
  <c r="AI32" i="19"/>
  <c r="AF33" i="19"/>
  <c r="AG33" i="19"/>
  <c r="AH33" i="19"/>
  <c r="AI33" i="19"/>
  <c r="AF34" i="19"/>
  <c r="AG34" i="19"/>
  <c r="AH34" i="19"/>
  <c r="AI34" i="19"/>
  <c r="AF35" i="19"/>
  <c r="AG35" i="19"/>
  <c r="AH35" i="19"/>
  <c r="AI35" i="19"/>
  <c r="AF36" i="19"/>
  <c r="AG36" i="19"/>
  <c r="AH36" i="19"/>
  <c r="AI36" i="19"/>
  <c r="AG28" i="19"/>
  <c r="AH28" i="19"/>
  <c r="AI28" i="19"/>
  <c r="AG27" i="19"/>
  <c r="AH27" i="19"/>
  <c r="AI27" i="19"/>
  <c r="AG26" i="19"/>
  <c r="AH26" i="19"/>
  <c r="AI26" i="19"/>
  <c r="AE37" i="19"/>
  <c r="AE38" i="19"/>
  <c r="AE39" i="19"/>
  <c r="AE40" i="19"/>
  <c r="AE41" i="19"/>
  <c r="AE42" i="19"/>
  <c r="AE43" i="19"/>
  <c r="AE44" i="19"/>
  <c r="AE45" i="19"/>
  <c r="AE30" i="19"/>
  <c r="AF26" i="18"/>
  <c r="AE40" i="18"/>
  <c r="AE41" i="18"/>
  <c r="AE42" i="18"/>
  <c r="AE43" i="18"/>
  <c r="AE45" i="18"/>
  <c r="AD27" i="18"/>
  <c r="AD28" i="18"/>
  <c r="AD29" i="18"/>
  <c r="AD30" i="18" s="1"/>
  <c r="AD31" i="18" s="1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Y37" i="17"/>
  <c r="Y38" i="17"/>
  <c r="Y39" i="17"/>
  <c r="Y40" i="17"/>
  <c r="Y41" i="17"/>
  <c r="Y42" i="17"/>
  <c r="Y43" i="17"/>
  <c r="Y44" i="17"/>
  <c r="Y45" i="17"/>
  <c r="Y30" i="17"/>
  <c r="Y31" i="17"/>
  <c r="AB38" i="16"/>
  <c r="AC38" i="16"/>
  <c r="AB39" i="16"/>
  <c r="AC39" i="16"/>
  <c r="AB40" i="16"/>
  <c r="AC40" i="16"/>
  <c r="AB41" i="16"/>
  <c r="AC41" i="16"/>
  <c r="AB42" i="16"/>
  <c r="AC42" i="16"/>
  <c r="AB43" i="16"/>
  <c r="AC43" i="16"/>
  <c r="AB45" i="16"/>
  <c r="AC45" i="16"/>
  <c r="W32" i="15"/>
  <c r="X32" i="15"/>
  <c r="W33" i="15"/>
  <c r="X33" i="15"/>
  <c r="W34" i="15"/>
  <c r="X34" i="15"/>
  <c r="W35" i="15"/>
  <c r="X35" i="15"/>
  <c r="V26" i="15"/>
  <c r="V27" i="15" s="1"/>
  <c r="W26" i="15"/>
  <c r="X26" i="15"/>
  <c r="X28" i="15" s="1"/>
  <c r="W27" i="15"/>
  <c r="X27" i="15"/>
  <c r="V28" i="15"/>
  <c r="W28" i="15"/>
  <c r="W46" i="15"/>
  <c r="X46" i="15"/>
  <c r="T37" i="15"/>
  <c r="T38" i="15"/>
  <c r="T39" i="15"/>
  <c r="T40" i="15"/>
  <c r="T41" i="15"/>
  <c r="T42" i="15"/>
  <c r="T43" i="15"/>
  <c r="T44" i="15"/>
  <c r="T45" i="15"/>
  <c r="T30" i="15"/>
  <c r="T31" i="15"/>
  <c r="AB27" i="14"/>
  <c r="AB28" i="14"/>
  <c r="AB29" i="14"/>
  <c r="AB30" i="14"/>
  <c r="AB31" i="14" s="1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I27" i="13"/>
  <c r="I28" i="13"/>
  <c r="I29" i="13"/>
  <c r="I30" i="13" s="1"/>
  <c r="I31" i="13" s="1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AF26" i="12"/>
  <c r="AD27" i="12"/>
  <c r="AD28" i="12"/>
  <c r="AD29" i="12"/>
  <c r="AD30" i="12" s="1"/>
  <c r="AD31" i="12" s="1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B26" i="12"/>
  <c r="AB27" i="12" s="1"/>
  <c r="AC26" i="12"/>
  <c r="AC30" i="12" s="1"/>
  <c r="AC31" i="12" s="1"/>
  <c r="AD26" i="12"/>
  <c r="AE26" i="12"/>
  <c r="AB29" i="12"/>
  <c r="AB44" i="12" s="1"/>
  <c r="AC29" i="12"/>
  <c r="AC44" i="12" s="1"/>
  <c r="AB30" i="12"/>
  <c r="AB31" i="12" s="1"/>
  <c r="AB32" i="12"/>
  <c r="AC32" i="12"/>
  <c r="AB33" i="12"/>
  <c r="AC33" i="12"/>
  <c r="AB34" i="12"/>
  <c r="AC34" i="12"/>
  <c r="AB35" i="12"/>
  <c r="AC35" i="12"/>
  <c r="AB37" i="12"/>
  <c r="AC37" i="12"/>
  <c r="AB38" i="12"/>
  <c r="AC38" i="12"/>
  <c r="AB39" i="12"/>
  <c r="AC39" i="12"/>
  <c r="AB40" i="12"/>
  <c r="AC40" i="12"/>
  <c r="AB41" i="12"/>
  <c r="AC41" i="12"/>
  <c r="AB42" i="12"/>
  <c r="AC42" i="12"/>
  <c r="AB43" i="12"/>
  <c r="AC43" i="12"/>
  <c r="AB45" i="12"/>
  <c r="AC45" i="12"/>
  <c r="AB46" i="12"/>
  <c r="AC46" i="12"/>
  <c r="Q37" i="11"/>
  <c r="Q38" i="11"/>
  <c r="Q39" i="11"/>
  <c r="Q40" i="11"/>
  <c r="Q41" i="11"/>
  <c r="Q42" i="11"/>
  <c r="Q43" i="11"/>
  <c r="Q44" i="11"/>
  <c r="Q45" i="11"/>
  <c r="Q30" i="11"/>
  <c r="AB37" i="10"/>
  <c r="AB38" i="10"/>
  <c r="AB39" i="10"/>
  <c r="AB40" i="10"/>
  <c r="AB41" i="10"/>
  <c r="AB42" i="10"/>
  <c r="AB43" i="10"/>
  <c r="AB44" i="10"/>
  <c r="AB45" i="10"/>
  <c r="AB30" i="10"/>
  <c r="L37" i="9"/>
  <c r="L38" i="9"/>
  <c r="L39" i="9"/>
  <c r="L40" i="9"/>
  <c r="L41" i="9"/>
  <c r="L42" i="9"/>
  <c r="L43" i="9"/>
  <c r="L44" i="9"/>
  <c r="L45" i="9"/>
  <c r="AA37" i="8"/>
  <c r="AA38" i="8"/>
  <c r="AA39" i="8"/>
  <c r="AA40" i="8"/>
  <c r="AA41" i="8"/>
  <c r="AA42" i="8"/>
  <c r="AA43" i="8"/>
  <c r="AA44" i="8"/>
  <c r="AA45" i="8"/>
  <c r="AD27" i="7"/>
  <c r="AD28" i="7"/>
  <c r="AD29" i="7"/>
  <c r="AD30" i="7" s="1"/>
  <c r="AD31" i="7" s="1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A37" i="5"/>
  <c r="AA38" i="5"/>
  <c r="AA39" i="5"/>
  <c r="AA40" i="5"/>
  <c r="AA41" i="5"/>
  <c r="AA42" i="5"/>
  <c r="AA43" i="5"/>
  <c r="AA44" i="5"/>
  <c r="AA45" i="5"/>
  <c r="AA37" i="3"/>
  <c r="AA38" i="3"/>
  <c r="AA39" i="3"/>
  <c r="AA40" i="3"/>
  <c r="AA41" i="3"/>
  <c r="AA42" i="3"/>
  <c r="AA43" i="3"/>
  <c r="AA44" i="3"/>
  <c r="AA45" i="3"/>
  <c r="AA29" i="3"/>
  <c r="T37" i="2"/>
  <c r="T38" i="2"/>
  <c r="T39" i="2"/>
  <c r="T40" i="2"/>
  <c r="T41" i="2"/>
  <c r="T42" i="2"/>
  <c r="T43" i="2"/>
  <c r="T44" i="2"/>
  <c r="T45" i="2"/>
  <c r="T46" i="2"/>
  <c r="AD32" i="40"/>
  <c r="AE32" i="40"/>
  <c r="AD33" i="40"/>
  <c r="AE33" i="40"/>
  <c r="AD34" i="40"/>
  <c r="AE34" i="40"/>
  <c r="AE29" i="40"/>
  <c r="AD26" i="40"/>
  <c r="AD27" i="40" s="1"/>
  <c r="AD28" i="40"/>
  <c r="AC11" i="40"/>
  <c r="AB10" i="40"/>
  <c r="AG32" i="38"/>
  <c r="AH32" i="38"/>
  <c r="AI32" i="38"/>
  <c r="AG33" i="38"/>
  <c r="AH33" i="38"/>
  <c r="AI33" i="38"/>
  <c r="AG34" i="38"/>
  <c r="AH34" i="38"/>
  <c r="AI34" i="38"/>
  <c r="AG35" i="38"/>
  <c r="AH35" i="38"/>
  <c r="AI35" i="38"/>
  <c r="AG27" i="38"/>
  <c r="AH27" i="38"/>
  <c r="Z6" i="34"/>
  <c r="AC26" i="32"/>
  <c r="AD26" i="32"/>
  <c r="AE26" i="32"/>
  <c r="AE27" i="32" s="1"/>
  <c r="AC27" i="32"/>
  <c r="AD27" i="32"/>
  <c r="AC28" i="32"/>
  <c r="AD28" i="32"/>
  <c r="S46" i="31"/>
  <c r="T46" i="31"/>
  <c r="U46" i="31"/>
  <c r="V46" i="31"/>
  <c r="W46" i="31"/>
  <c r="R32" i="31"/>
  <c r="S32" i="31"/>
  <c r="T32" i="31"/>
  <c r="U32" i="31"/>
  <c r="V32" i="31"/>
  <c r="W32" i="31"/>
  <c r="R33" i="31"/>
  <c r="S33" i="31"/>
  <c r="T33" i="31"/>
  <c r="U33" i="31"/>
  <c r="V33" i="31"/>
  <c r="W33" i="31"/>
  <c r="R34" i="31"/>
  <c r="S34" i="31"/>
  <c r="T34" i="31"/>
  <c r="U34" i="31"/>
  <c r="V34" i="31"/>
  <c r="W34" i="31"/>
  <c r="R35" i="31"/>
  <c r="S35" i="31"/>
  <c r="T35" i="31"/>
  <c r="U35" i="31"/>
  <c r="V35" i="31"/>
  <c r="W35" i="31"/>
  <c r="R36" i="31"/>
  <c r="U36" i="31"/>
  <c r="W36" i="31"/>
  <c r="R26" i="31"/>
  <c r="S26" i="31"/>
  <c r="S36" i="31" s="1"/>
  <c r="T26" i="31"/>
  <c r="T27" i="31" s="1"/>
  <c r="U26" i="31"/>
  <c r="U27" i="31" s="1"/>
  <c r="V26" i="31"/>
  <c r="V28" i="31" s="1"/>
  <c r="W26" i="31"/>
  <c r="W28" i="31" s="1"/>
  <c r="R27" i="31"/>
  <c r="R28" i="31"/>
  <c r="S28" i="31"/>
  <c r="U28" i="31"/>
  <c r="P32" i="29"/>
  <c r="Q32" i="29"/>
  <c r="R32" i="29"/>
  <c r="P33" i="29"/>
  <c r="Q33" i="29"/>
  <c r="R33" i="29"/>
  <c r="P34" i="29"/>
  <c r="Q34" i="29"/>
  <c r="R34" i="29"/>
  <c r="P35" i="29"/>
  <c r="Q35" i="29"/>
  <c r="R35" i="29"/>
  <c r="P36" i="29"/>
  <c r="Q36" i="29"/>
  <c r="O26" i="29"/>
  <c r="O28" i="29" s="1"/>
  <c r="P26" i="29"/>
  <c r="Q26" i="29"/>
  <c r="R26" i="29"/>
  <c r="R28" i="29" s="1"/>
  <c r="S26" i="29"/>
  <c r="S27" i="29" s="1"/>
  <c r="P27" i="29"/>
  <c r="Q27" i="29"/>
  <c r="P28" i="29"/>
  <c r="Q28" i="29"/>
  <c r="V34" i="27"/>
  <c r="W34" i="27"/>
  <c r="X34" i="27"/>
  <c r="Y34" i="27"/>
  <c r="Z34" i="27"/>
  <c r="AA34" i="27"/>
  <c r="AB34" i="27"/>
  <c r="AC34" i="27"/>
  <c r="AD34" i="27"/>
  <c r="V36" i="27"/>
  <c r="W36" i="27"/>
  <c r="X36" i="27"/>
  <c r="Y36" i="27"/>
  <c r="Z36" i="27"/>
  <c r="AA36" i="27"/>
  <c r="AB36" i="27"/>
  <c r="AC36" i="27"/>
  <c r="AD36" i="27"/>
  <c r="AA32" i="25"/>
  <c r="AB32" i="25"/>
  <c r="AA33" i="25"/>
  <c r="AB33" i="25"/>
  <c r="AA34" i="25"/>
  <c r="AB34" i="25"/>
  <c r="AA35" i="25"/>
  <c r="AB35" i="25"/>
  <c r="Z26" i="25"/>
  <c r="Z27" i="25" s="1"/>
  <c r="AA26" i="25"/>
  <c r="AA36" i="25" s="1"/>
  <c r="AB26" i="25"/>
  <c r="AB27" i="25" s="1"/>
  <c r="AA27" i="25"/>
  <c r="AA28" i="25"/>
  <c r="Z46" i="24"/>
  <c r="AA46" i="24"/>
  <c r="AB46" i="24"/>
  <c r="AC46" i="24"/>
  <c r="AD46" i="24"/>
  <c r="AE46" i="24"/>
  <c r="Z32" i="24"/>
  <c r="AA32" i="24"/>
  <c r="AB32" i="24"/>
  <c r="AC32" i="24"/>
  <c r="AD32" i="24"/>
  <c r="AE32" i="24"/>
  <c r="Z33" i="24"/>
  <c r="AA33" i="24"/>
  <c r="AB33" i="24"/>
  <c r="AC33" i="24"/>
  <c r="AD33" i="24"/>
  <c r="AE33" i="24"/>
  <c r="Z34" i="24"/>
  <c r="AA34" i="24"/>
  <c r="AB34" i="24"/>
  <c r="AC34" i="24"/>
  <c r="AD34" i="24"/>
  <c r="AE34" i="24"/>
  <c r="Z35" i="24"/>
  <c r="AA35" i="24"/>
  <c r="AB35" i="24"/>
  <c r="AC35" i="24"/>
  <c r="AD35" i="24"/>
  <c r="AE35" i="24"/>
  <c r="Z36" i="24"/>
  <c r="AA26" i="24"/>
  <c r="AA28" i="24" s="1"/>
  <c r="AB26" i="24"/>
  <c r="AB28" i="24" s="1"/>
  <c r="AC26" i="24"/>
  <c r="AC28" i="24" s="1"/>
  <c r="AD26" i="24"/>
  <c r="AD36" i="24" s="1"/>
  <c r="AE26" i="24"/>
  <c r="AE36" i="24" s="1"/>
  <c r="AE28" i="24"/>
  <c r="AF32" i="23"/>
  <c r="AF33" i="23"/>
  <c r="AF34" i="23"/>
  <c r="AF35" i="23"/>
  <c r="AC32" i="22"/>
  <c r="AD32" i="22"/>
  <c r="AE32" i="22"/>
  <c r="AF32" i="22"/>
  <c r="AC33" i="22"/>
  <c r="AD33" i="22"/>
  <c r="AE33" i="22"/>
  <c r="AF33" i="22"/>
  <c r="AC34" i="22"/>
  <c r="AD34" i="22"/>
  <c r="AE34" i="22"/>
  <c r="AF34" i="22"/>
  <c r="AC35" i="22"/>
  <c r="AD35" i="22"/>
  <c r="AE35" i="22"/>
  <c r="AF35" i="22"/>
  <c r="AC36" i="22"/>
  <c r="AD36" i="22"/>
  <c r="AE36" i="22"/>
  <c r="AF36" i="22"/>
  <c r="AD26" i="22"/>
  <c r="AD27" i="22" s="1"/>
  <c r="AE26" i="22"/>
  <c r="AF26" i="22"/>
  <c r="AE27" i="22"/>
  <c r="AF27" i="22"/>
  <c r="AE28" i="22"/>
  <c r="AF28" i="22"/>
  <c r="AD46" i="19"/>
  <c r="AE46" i="19"/>
  <c r="AF46" i="19"/>
  <c r="AG46" i="19"/>
  <c r="AC37" i="19"/>
  <c r="AD37" i="19"/>
  <c r="AC32" i="19"/>
  <c r="AD32" i="19"/>
  <c r="AE32" i="19"/>
  <c r="AC33" i="19"/>
  <c r="AD33" i="19"/>
  <c r="AE33" i="19"/>
  <c r="AC34" i="19"/>
  <c r="AD34" i="19"/>
  <c r="AE34" i="19"/>
  <c r="AC35" i="19"/>
  <c r="AD35" i="19"/>
  <c r="AE35" i="19"/>
  <c r="AC36" i="19"/>
  <c r="AD36" i="19"/>
  <c r="AC26" i="19"/>
  <c r="AC28" i="19" s="1"/>
  <c r="AD26" i="19"/>
  <c r="AE26" i="19"/>
  <c r="AE27" i="19" s="1"/>
  <c r="AF26" i="19"/>
  <c r="AF28" i="19" s="1"/>
  <c r="AC27" i="19"/>
  <c r="AD27" i="19"/>
  <c r="AF27" i="19"/>
  <c r="AD28" i="19"/>
  <c r="X32" i="17"/>
  <c r="Y32" i="17"/>
  <c r="X33" i="17"/>
  <c r="Y33" i="17"/>
  <c r="X34" i="17"/>
  <c r="Y34" i="17"/>
  <c r="X35" i="17"/>
  <c r="Y35" i="17"/>
  <c r="X36" i="17"/>
  <c r="Y36" i="17"/>
  <c r="R29" i="17"/>
  <c r="R30" i="17" s="1"/>
  <c r="R31" i="17" s="1"/>
  <c r="S29" i="17"/>
  <c r="S30" i="17" s="1"/>
  <c r="S31" i="17" s="1"/>
  <c r="T29" i="17"/>
  <c r="U29" i="17"/>
  <c r="T30" i="17"/>
  <c r="T31" i="17" s="1"/>
  <c r="U30" i="17"/>
  <c r="U31" i="17" s="1"/>
  <c r="AB46" i="16"/>
  <c r="AC46" i="16"/>
  <c r="AD46" i="16"/>
  <c r="AE46" i="16"/>
  <c r="AA32" i="16"/>
  <c r="AB32" i="16"/>
  <c r="AC32" i="16"/>
  <c r="AD32" i="16"/>
  <c r="AE32" i="16"/>
  <c r="AA33" i="16"/>
  <c r="AB33" i="16"/>
  <c r="AC33" i="16"/>
  <c r="AD33" i="16"/>
  <c r="AE33" i="16"/>
  <c r="AA34" i="16"/>
  <c r="AB34" i="16"/>
  <c r="AC34" i="16"/>
  <c r="AD34" i="16"/>
  <c r="AE34" i="16"/>
  <c r="AA35" i="16"/>
  <c r="AB35" i="16"/>
  <c r="AC35" i="16"/>
  <c r="AD35" i="16"/>
  <c r="AE35" i="16"/>
  <c r="AA26" i="16"/>
  <c r="AA27" i="16" s="1"/>
  <c r="AB26" i="16"/>
  <c r="AB37" i="16" s="1"/>
  <c r="AC26" i="16"/>
  <c r="AC36" i="16" s="1"/>
  <c r="AD26" i="16"/>
  <c r="AD36" i="16" s="1"/>
  <c r="AE26" i="16"/>
  <c r="AE27" i="16" s="1"/>
  <c r="T46" i="15"/>
  <c r="U46" i="15"/>
  <c r="V46" i="15"/>
  <c r="R32" i="15"/>
  <c r="S32" i="15"/>
  <c r="T32" i="15"/>
  <c r="U32" i="15"/>
  <c r="V32" i="15"/>
  <c r="R33" i="15"/>
  <c r="S33" i="15"/>
  <c r="T33" i="15"/>
  <c r="U33" i="15"/>
  <c r="V33" i="15"/>
  <c r="R34" i="15"/>
  <c r="S34" i="15"/>
  <c r="T34" i="15"/>
  <c r="U34" i="15"/>
  <c r="V34" i="15"/>
  <c r="R35" i="15"/>
  <c r="S35" i="15"/>
  <c r="T35" i="15"/>
  <c r="U35" i="15"/>
  <c r="V35" i="15"/>
  <c r="R36" i="15"/>
  <c r="S36" i="15"/>
  <c r="U36" i="15"/>
  <c r="R28" i="15"/>
  <c r="S28" i="15"/>
  <c r="U28" i="15"/>
  <c r="R26" i="15"/>
  <c r="S26" i="15"/>
  <c r="T26" i="15"/>
  <c r="T28" i="15" s="1"/>
  <c r="U26" i="15"/>
  <c r="U27" i="15" s="1"/>
  <c r="R27" i="15"/>
  <c r="S27" i="15"/>
  <c r="P46" i="11"/>
  <c r="Q46" i="11"/>
  <c r="R46" i="11"/>
  <c r="S46" i="11"/>
  <c r="T46" i="11"/>
  <c r="U46" i="11"/>
  <c r="N32" i="11"/>
  <c r="O32" i="11"/>
  <c r="P32" i="11"/>
  <c r="Q32" i="11"/>
  <c r="R32" i="11"/>
  <c r="S32" i="11"/>
  <c r="T32" i="11"/>
  <c r="U32" i="11"/>
  <c r="N33" i="11"/>
  <c r="O33" i="11"/>
  <c r="P33" i="11"/>
  <c r="Q33" i="11"/>
  <c r="R33" i="11"/>
  <c r="S33" i="11"/>
  <c r="T33" i="11"/>
  <c r="U33" i="11"/>
  <c r="N34" i="11"/>
  <c r="O34" i="11"/>
  <c r="P34" i="11"/>
  <c r="Q34" i="11"/>
  <c r="R34" i="11"/>
  <c r="S34" i="11"/>
  <c r="T34" i="11"/>
  <c r="U34" i="11"/>
  <c r="N35" i="11"/>
  <c r="O35" i="11"/>
  <c r="P35" i="11"/>
  <c r="Q35" i="11"/>
  <c r="R35" i="11"/>
  <c r="S35" i="11"/>
  <c r="T35" i="11"/>
  <c r="U35" i="11"/>
  <c r="N36" i="11"/>
  <c r="O36" i="11"/>
  <c r="P36" i="11"/>
  <c r="Q36" i="11"/>
  <c r="L26" i="11"/>
  <c r="M26" i="11"/>
  <c r="N26" i="11"/>
  <c r="O26" i="11"/>
  <c r="P26" i="11"/>
  <c r="Q26" i="11"/>
  <c r="Q28" i="11" s="1"/>
  <c r="R26" i="11"/>
  <c r="R27" i="11" s="1"/>
  <c r="S26" i="11"/>
  <c r="S27" i="11" s="1"/>
  <c r="T26" i="11"/>
  <c r="T36" i="11" s="1"/>
  <c r="U26" i="11"/>
  <c r="U36" i="11" s="1"/>
  <c r="L27" i="11"/>
  <c r="M27" i="11"/>
  <c r="N27" i="11"/>
  <c r="O27" i="11"/>
  <c r="P27" i="11"/>
  <c r="Q27" i="11"/>
  <c r="T27" i="11"/>
  <c r="U27" i="11"/>
  <c r="L28" i="11"/>
  <c r="M28" i="11"/>
  <c r="N28" i="11"/>
  <c r="O28" i="11"/>
  <c r="P28" i="11"/>
  <c r="AB46" i="10"/>
  <c r="AC46" i="10"/>
  <c r="AD46" i="10"/>
  <c r="AE46" i="10"/>
  <c r="AF46" i="10"/>
  <c r="AA36" i="10"/>
  <c r="AE36" i="10"/>
  <c r="AF36" i="10"/>
  <c r="AA32" i="10"/>
  <c r="AB32" i="10"/>
  <c r="AC32" i="10"/>
  <c r="AD32" i="10"/>
  <c r="AE32" i="10"/>
  <c r="AF32" i="10"/>
  <c r="AA33" i="10"/>
  <c r="AB33" i="10"/>
  <c r="AC33" i="10"/>
  <c r="AD33" i="10"/>
  <c r="AE33" i="10"/>
  <c r="AF33" i="10"/>
  <c r="AA34" i="10"/>
  <c r="AB34" i="10"/>
  <c r="AC34" i="10"/>
  <c r="AD34" i="10"/>
  <c r="AE34" i="10"/>
  <c r="AF34" i="10"/>
  <c r="AA35" i="10"/>
  <c r="AB35" i="10"/>
  <c r="AC35" i="10"/>
  <c r="AD35" i="10"/>
  <c r="AE35" i="10"/>
  <c r="AF35" i="10"/>
  <c r="AC28" i="10"/>
  <c r="AE28" i="10"/>
  <c r="X26" i="10"/>
  <c r="Y26" i="10"/>
  <c r="Y27" i="10" s="1"/>
  <c r="Z26" i="10"/>
  <c r="AA26" i="10"/>
  <c r="AA27" i="10" s="1"/>
  <c r="AB26" i="10"/>
  <c r="AB36" i="10" s="1"/>
  <c r="AC26" i="10"/>
  <c r="AC27" i="10" s="1"/>
  <c r="AD26" i="10"/>
  <c r="AD27" i="10" s="1"/>
  <c r="AE26" i="10"/>
  <c r="AE27" i="10" s="1"/>
  <c r="AF26" i="10"/>
  <c r="AF28" i="10" s="1"/>
  <c r="X27" i="10"/>
  <c r="Z27" i="10"/>
  <c r="AB27" i="10"/>
  <c r="AF27" i="10"/>
  <c r="L46" i="9"/>
  <c r="M46" i="9"/>
  <c r="N46" i="9"/>
  <c r="H36" i="9"/>
  <c r="I36" i="9"/>
  <c r="J36" i="9"/>
  <c r="K36" i="9"/>
  <c r="M36" i="9"/>
  <c r="H32" i="9"/>
  <c r="I32" i="9"/>
  <c r="J32" i="9"/>
  <c r="K32" i="9"/>
  <c r="L32" i="9"/>
  <c r="M32" i="9"/>
  <c r="N32" i="9"/>
  <c r="H33" i="9"/>
  <c r="I33" i="9"/>
  <c r="J33" i="9"/>
  <c r="K33" i="9"/>
  <c r="L33" i="9"/>
  <c r="M33" i="9"/>
  <c r="N33" i="9"/>
  <c r="H34" i="9"/>
  <c r="I34" i="9"/>
  <c r="J34" i="9"/>
  <c r="K34" i="9"/>
  <c r="L34" i="9"/>
  <c r="M34" i="9"/>
  <c r="N34" i="9"/>
  <c r="H35" i="9"/>
  <c r="I35" i="9"/>
  <c r="J35" i="9"/>
  <c r="K35" i="9"/>
  <c r="L35" i="9"/>
  <c r="M35" i="9"/>
  <c r="N35" i="9"/>
  <c r="I28" i="9"/>
  <c r="J28" i="9"/>
  <c r="K28" i="9"/>
  <c r="M28" i="9"/>
  <c r="I26" i="9"/>
  <c r="I27" i="9" s="1"/>
  <c r="J26" i="9"/>
  <c r="K26" i="9"/>
  <c r="L26" i="9"/>
  <c r="L27" i="9" s="1"/>
  <c r="M26" i="9"/>
  <c r="M27" i="9" s="1"/>
  <c r="N26" i="9"/>
  <c r="N27" i="9" s="1"/>
  <c r="J27" i="9"/>
  <c r="K27" i="9"/>
  <c r="AB46" i="8"/>
  <c r="AC46" i="8"/>
  <c r="X32" i="8"/>
  <c r="Y32" i="8"/>
  <c r="Z32" i="8"/>
  <c r="AA32" i="8"/>
  <c r="AB32" i="8"/>
  <c r="AC32" i="8"/>
  <c r="X33" i="8"/>
  <c r="Y33" i="8"/>
  <c r="Z33" i="8"/>
  <c r="AA33" i="8"/>
  <c r="AB33" i="8"/>
  <c r="AC33" i="8"/>
  <c r="X34" i="8"/>
  <c r="Y34" i="8"/>
  <c r="Z34" i="8"/>
  <c r="AA34" i="8"/>
  <c r="AB34" i="8"/>
  <c r="AC34" i="8"/>
  <c r="X35" i="8"/>
  <c r="Y35" i="8"/>
  <c r="Z35" i="8"/>
  <c r="AA35" i="8"/>
  <c r="AB35" i="8"/>
  <c r="AC35" i="8"/>
  <c r="X36" i="8"/>
  <c r="Y36" i="8"/>
  <c r="Z36" i="8"/>
  <c r="AC36" i="8"/>
  <c r="X26" i="8"/>
  <c r="X28" i="8" s="1"/>
  <c r="Y26" i="8"/>
  <c r="Z26" i="8"/>
  <c r="AA26" i="8"/>
  <c r="AA27" i="8" s="1"/>
  <c r="AB26" i="8"/>
  <c r="AB28" i="8" s="1"/>
  <c r="AC26" i="8"/>
  <c r="AC28" i="8" s="1"/>
  <c r="Y27" i="8"/>
  <c r="Z27" i="8"/>
  <c r="Y28" i="8"/>
  <c r="Z28" i="8"/>
  <c r="AB46" i="5"/>
  <c r="X37" i="5"/>
  <c r="Y37" i="5"/>
  <c r="Z37" i="5"/>
  <c r="X36" i="5"/>
  <c r="Y36" i="5"/>
  <c r="Z36" i="5"/>
  <c r="AB36" i="5"/>
  <c r="X35" i="5"/>
  <c r="Y35" i="5"/>
  <c r="Z35" i="5"/>
  <c r="AA35" i="5"/>
  <c r="AB35" i="5"/>
  <c r="X32" i="5"/>
  <c r="Y32" i="5"/>
  <c r="Z32" i="5"/>
  <c r="AA32" i="5"/>
  <c r="AB32" i="5"/>
  <c r="X33" i="5"/>
  <c r="Y33" i="5"/>
  <c r="Z33" i="5"/>
  <c r="AA33" i="5"/>
  <c r="AB33" i="5"/>
  <c r="X34" i="5"/>
  <c r="Y34" i="5"/>
  <c r="Z34" i="5"/>
  <c r="AA34" i="5"/>
  <c r="AB34" i="5"/>
  <c r="X26" i="5"/>
  <c r="X27" i="5" s="1"/>
  <c r="Y26" i="5"/>
  <c r="Z26" i="5"/>
  <c r="Z28" i="5" s="1"/>
  <c r="AA26" i="5"/>
  <c r="AA28" i="5" s="1"/>
  <c r="AB26" i="5"/>
  <c r="AB27" i="5" s="1"/>
  <c r="Y27" i="5"/>
  <c r="X28" i="5"/>
  <c r="Y28" i="5"/>
  <c r="AB28" i="5"/>
  <c r="AB46" i="3"/>
  <c r="AC46" i="3"/>
  <c r="X37" i="3"/>
  <c r="Y37" i="3"/>
  <c r="Z37" i="3"/>
  <c r="AA28" i="3"/>
  <c r="AA36" i="3"/>
  <c r="X27" i="3"/>
  <c r="Y27" i="3"/>
  <c r="Z27" i="3"/>
  <c r="AA27" i="3"/>
  <c r="Y26" i="3"/>
  <c r="Z26" i="3"/>
  <c r="AA26" i="3"/>
  <c r="AB26" i="3"/>
  <c r="AB28" i="3" s="1"/>
  <c r="AC26" i="3"/>
  <c r="AC27" i="3" s="1"/>
  <c r="U46" i="2"/>
  <c r="V46" i="2"/>
  <c r="W46" i="2"/>
  <c r="P37" i="2"/>
  <c r="Q37" i="2"/>
  <c r="R37" i="2"/>
  <c r="S37" i="2"/>
  <c r="R36" i="2"/>
  <c r="S36" i="2"/>
  <c r="U36" i="2"/>
  <c r="S35" i="2"/>
  <c r="T35" i="2"/>
  <c r="U35" i="2"/>
  <c r="V35" i="2"/>
  <c r="S34" i="2"/>
  <c r="T34" i="2"/>
  <c r="U34" i="2"/>
  <c r="V34" i="2"/>
  <c r="T33" i="2"/>
  <c r="U33" i="2"/>
  <c r="V33" i="2"/>
  <c r="S32" i="2"/>
  <c r="T32" i="2"/>
  <c r="U32" i="2"/>
  <c r="V32" i="2"/>
  <c r="H30" i="2"/>
  <c r="I30" i="2"/>
  <c r="J30" i="2"/>
  <c r="K30" i="2"/>
  <c r="L30" i="2"/>
  <c r="M30" i="2"/>
  <c r="N30" i="2"/>
  <c r="O30" i="2"/>
  <c r="P30" i="2"/>
  <c r="Q30" i="2"/>
  <c r="R30" i="2"/>
  <c r="H28" i="2"/>
  <c r="I28" i="2"/>
  <c r="J28" i="2"/>
  <c r="K28" i="2"/>
  <c r="L28" i="2"/>
  <c r="M28" i="2"/>
  <c r="N28" i="2"/>
  <c r="O28" i="2"/>
  <c r="P28" i="2"/>
  <c r="Q28" i="2"/>
  <c r="R28" i="2"/>
  <c r="S28" i="2"/>
  <c r="V28" i="2"/>
  <c r="H27" i="2"/>
  <c r="I27" i="2"/>
  <c r="J27" i="2"/>
  <c r="K27" i="2"/>
  <c r="L27" i="2"/>
  <c r="M27" i="2"/>
  <c r="N27" i="2"/>
  <c r="O27" i="2"/>
  <c r="P27" i="2"/>
  <c r="Q27" i="2"/>
  <c r="R27" i="2"/>
  <c r="S27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T28" i="2" s="1"/>
  <c r="U26" i="2"/>
  <c r="U27" i="2" s="1"/>
  <c r="V26" i="2"/>
  <c r="V36" i="2" s="1"/>
  <c r="E46" i="31"/>
  <c r="F46" i="31"/>
  <c r="G46" i="31"/>
  <c r="H46" i="31"/>
  <c r="I46" i="31"/>
  <c r="J46" i="31"/>
  <c r="K46" i="31"/>
  <c r="L46" i="31"/>
  <c r="M46" i="31"/>
  <c r="N46" i="31"/>
  <c r="O46" i="31"/>
  <c r="P46" i="31"/>
  <c r="D46" i="31"/>
  <c r="AE36" i="16" l="1"/>
  <c r="AB36" i="16"/>
  <c r="AB27" i="16"/>
  <c r="AA36" i="16"/>
  <c r="AC37" i="16"/>
  <c r="AE30" i="40"/>
  <c r="AE31" i="40" s="1"/>
  <c r="AG28" i="32"/>
  <c r="AF28" i="32"/>
  <c r="AE28" i="32"/>
  <c r="V36" i="31"/>
  <c r="T36" i="31"/>
  <c r="T28" i="31"/>
  <c r="S27" i="31"/>
  <c r="T36" i="29"/>
  <c r="T28" i="29"/>
  <c r="S28" i="29"/>
  <c r="R27" i="29"/>
  <c r="R36" i="29"/>
  <c r="AB36" i="25"/>
  <c r="Z28" i="25"/>
  <c r="AB28" i="25"/>
  <c r="AB27" i="24"/>
  <c r="AG28" i="22"/>
  <c r="AE36" i="19"/>
  <c r="AE28" i="19"/>
  <c r="AE28" i="16"/>
  <c r="AD27" i="16"/>
  <c r="AD28" i="16"/>
  <c r="AC27" i="16"/>
  <c r="V36" i="15"/>
  <c r="T36" i="15"/>
  <c r="T27" i="15"/>
  <c r="AC36" i="12"/>
  <c r="AC28" i="12"/>
  <c r="AB36" i="12"/>
  <c r="AB28" i="12"/>
  <c r="AC27" i="12"/>
  <c r="R36" i="11"/>
  <c r="T28" i="11"/>
  <c r="S36" i="11"/>
  <c r="U28" i="11"/>
  <c r="AD36" i="10"/>
  <c r="AD28" i="10"/>
  <c r="AC36" i="10"/>
  <c r="N36" i="9"/>
  <c r="N28" i="9"/>
  <c r="L36" i="9"/>
  <c r="L28" i="9"/>
  <c r="AB36" i="8"/>
  <c r="AB27" i="8"/>
  <c r="AA36" i="8"/>
  <c r="AA28" i="8"/>
  <c r="AA27" i="5"/>
  <c r="AA36" i="5"/>
  <c r="AC36" i="3"/>
  <c r="AC28" i="3"/>
  <c r="AB36" i="3"/>
  <c r="AB27" i="3"/>
  <c r="V27" i="2"/>
  <c r="U28" i="2"/>
  <c r="T27" i="2"/>
  <c r="T36" i="2"/>
  <c r="W27" i="31"/>
  <c r="V27" i="31"/>
  <c r="O27" i="29"/>
  <c r="AB36" i="24"/>
  <c r="AD28" i="24"/>
  <c r="AE27" i="24"/>
  <c r="AD27" i="24"/>
  <c r="AC27" i="24"/>
  <c r="AC36" i="24"/>
  <c r="AA27" i="24"/>
  <c r="AA36" i="24"/>
  <c r="AD28" i="22"/>
  <c r="S28" i="11"/>
  <c r="R28" i="11"/>
  <c r="X27" i="8"/>
  <c r="AC27" i="8"/>
  <c r="Z27" i="5"/>
  <c r="U29" i="2"/>
  <c r="W14" i="17"/>
  <c r="E26" i="31" l="1"/>
  <c r="E27" i="31" s="1"/>
  <c r="F26" i="31"/>
  <c r="F27" i="31" s="1"/>
  <c r="G26" i="31"/>
  <c r="G27" i="31" s="1"/>
  <c r="H26" i="31"/>
  <c r="H27" i="31" s="1"/>
  <c r="I26" i="31"/>
  <c r="J26" i="31"/>
  <c r="J36" i="31" s="1"/>
  <c r="K26" i="31"/>
  <c r="K28" i="31" s="1"/>
  <c r="L26" i="31"/>
  <c r="L27" i="31" s="1"/>
  <c r="M26" i="31"/>
  <c r="N26" i="31"/>
  <c r="N27" i="31" s="1"/>
  <c r="O26" i="31"/>
  <c r="O27" i="31" s="1"/>
  <c r="P26" i="31"/>
  <c r="P27" i="31" s="1"/>
  <c r="E29" i="31"/>
  <c r="F29" i="31"/>
  <c r="F44" i="31" s="1"/>
  <c r="G29" i="31"/>
  <c r="H29" i="31"/>
  <c r="H44" i="31" s="1"/>
  <c r="I29" i="31"/>
  <c r="I44" i="31" s="1"/>
  <c r="J29" i="31"/>
  <c r="K29" i="31"/>
  <c r="L29" i="31"/>
  <c r="M29" i="31"/>
  <c r="M44" i="31" s="1"/>
  <c r="N29" i="31"/>
  <c r="N44" i="31" s="1"/>
  <c r="O29" i="31"/>
  <c r="O44" i="31" s="1"/>
  <c r="P29" i="31"/>
  <c r="Q29" i="31"/>
  <c r="Q44" i="31" s="1"/>
  <c r="R29" i="31"/>
  <c r="R44" i="31" s="1"/>
  <c r="S29" i="31"/>
  <c r="T29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Q35" i="31"/>
  <c r="K36" i="31"/>
  <c r="K37" i="31"/>
  <c r="L37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R38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Q40" i="31"/>
  <c r="R40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Q41" i="31"/>
  <c r="R41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R42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Q43" i="31"/>
  <c r="R43" i="31"/>
  <c r="G44" i="31"/>
  <c r="J44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D45" i="31"/>
  <c r="D43" i="31"/>
  <c r="D42" i="31"/>
  <c r="D41" i="31"/>
  <c r="D40" i="31"/>
  <c r="D39" i="31"/>
  <c r="D38" i="31"/>
  <c r="D35" i="31"/>
  <c r="D34" i="31"/>
  <c r="D33" i="31"/>
  <c r="D32" i="31"/>
  <c r="D29" i="31"/>
  <c r="D44" i="31" s="1"/>
  <c r="O28" i="31" l="1"/>
  <c r="K30" i="31"/>
  <c r="K31" i="31" s="1"/>
  <c r="O36" i="31"/>
  <c r="G37" i="31"/>
  <c r="K44" i="31"/>
  <c r="H28" i="31"/>
  <c r="L30" i="31"/>
  <c r="L31" i="31" s="1"/>
  <c r="P28" i="31"/>
  <c r="P37" i="31"/>
  <c r="L36" i="31"/>
  <c r="M30" i="31"/>
  <c r="M31" i="31" s="1"/>
  <c r="P36" i="31"/>
  <c r="L28" i="31"/>
  <c r="M37" i="31"/>
  <c r="P30" i="31"/>
  <c r="P31" i="31" s="1"/>
  <c r="H30" i="31"/>
  <c r="H31" i="31" s="1"/>
  <c r="E28" i="31"/>
  <c r="L44" i="31"/>
  <c r="H36" i="31"/>
  <c r="G30" i="31"/>
  <c r="G31" i="31" s="1"/>
  <c r="E36" i="31"/>
  <c r="H37" i="31"/>
  <c r="I30" i="31"/>
  <c r="I31" i="31" s="1"/>
  <c r="O30" i="31"/>
  <c r="O31" i="31" s="1"/>
  <c r="M36" i="31"/>
  <c r="M28" i="31"/>
  <c r="M27" i="31"/>
  <c r="P44" i="31"/>
  <c r="F37" i="31"/>
  <c r="G28" i="31"/>
  <c r="J27" i="31"/>
  <c r="O37" i="31"/>
  <c r="E37" i="31"/>
  <c r="G36" i="31"/>
  <c r="F30" i="31"/>
  <c r="F31" i="31" s="1"/>
  <c r="E30" i="31"/>
  <c r="E31" i="31" s="1"/>
  <c r="F28" i="31"/>
  <c r="N37" i="31"/>
  <c r="F36" i="31"/>
  <c r="N36" i="31"/>
  <c r="N28" i="31"/>
  <c r="I27" i="31"/>
  <c r="I37" i="31"/>
  <c r="I36" i="31"/>
  <c r="J28" i="31"/>
  <c r="N30" i="31"/>
  <c r="N31" i="31" s="1"/>
  <c r="E44" i="31"/>
  <c r="I28" i="31"/>
  <c r="J30" i="31"/>
  <c r="J31" i="31" s="1"/>
  <c r="J37" i="31"/>
  <c r="K27" i="31"/>
  <c r="AB13" i="27"/>
  <c r="V9" i="27" l="1"/>
  <c r="W9" i="27"/>
  <c r="W15" i="27"/>
  <c r="V15" i="27"/>
  <c r="AA15" i="27"/>
  <c r="AC7" i="26"/>
  <c r="J13" i="24"/>
  <c r="K15" i="24"/>
  <c r="J15" i="24"/>
  <c r="K9" i="24"/>
  <c r="J9" i="24"/>
  <c r="K7" i="24"/>
  <c r="J7" i="24"/>
  <c r="AB7" i="23"/>
  <c r="AB11" i="22"/>
  <c r="Y15" i="14" l="1"/>
  <c r="Y11" i="37"/>
  <c r="AB12" i="40"/>
  <c r="AB11" i="40"/>
  <c r="AB9" i="40"/>
  <c r="AB8" i="40"/>
  <c r="AB7" i="40" s="1"/>
  <c r="F26" i="26" l="1"/>
  <c r="F27" i="26" s="1"/>
  <c r="G26" i="26"/>
  <c r="G28" i="26" s="1"/>
  <c r="H26" i="26"/>
  <c r="H27" i="26" s="1"/>
  <c r="I26" i="26"/>
  <c r="J26" i="26"/>
  <c r="K26" i="26"/>
  <c r="K37" i="26" s="1"/>
  <c r="L26" i="26"/>
  <c r="L27" i="26" s="1"/>
  <c r="M26" i="26"/>
  <c r="M37" i="26" s="1"/>
  <c r="N26" i="26"/>
  <c r="N27" i="26" s="1"/>
  <c r="O26" i="26"/>
  <c r="O36" i="26" s="1"/>
  <c r="P26" i="26"/>
  <c r="P36" i="26" s="1"/>
  <c r="Q26" i="26"/>
  <c r="Q36" i="26" s="1"/>
  <c r="R26" i="26"/>
  <c r="R36" i="26" s="1"/>
  <c r="S26" i="26"/>
  <c r="S36" i="26" s="1"/>
  <c r="T26" i="26"/>
  <c r="T27" i="26" s="1"/>
  <c r="U26" i="26"/>
  <c r="U37" i="26" s="1"/>
  <c r="V26" i="26"/>
  <c r="V28" i="26" s="1"/>
  <c r="W26" i="26"/>
  <c r="W36" i="26" s="1"/>
  <c r="X26" i="26"/>
  <c r="X36" i="26" s="1"/>
  <c r="R28" i="26"/>
  <c r="F29" i="26"/>
  <c r="G29" i="26"/>
  <c r="H29" i="26"/>
  <c r="M29" i="26"/>
  <c r="N29" i="26"/>
  <c r="N30" i="26" s="1"/>
  <c r="W29" i="26"/>
  <c r="X29" i="26"/>
  <c r="F32" i="26"/>
  <c r="G32" i="26"/>
  <c r="H32" i="26"/>
  <c r="O32" i="26"/>
  <c r="P32" i="26"/>
  <c r="Q32" i="26"/>
  <c r="R32" i="26"/>
  <c r="S32" i="26"/>
  <c r="T32" i="26"/>
  <c r="U32" i="26"/>
  <c r="V32" i="26"/>
  <c r="W32" i="26"/>
  <c r="F33" i="26"/>
  <c r="G33" i="26"/>
  <c r="H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F34" i="26"/>
  <c r="G34" i="26"/>
  <c r="H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F35" i="26"/>
  <c r="G35" i="26"/>
  <c r="H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F36" i="26"/>
  <c r="L37" i="26"/>
  <c r="S37" i="26"/>
  <c r="T37" i="26"/>
  <c r="V37" i="26"/>
  <c r="F38" i="26"/>
  <c r="G38" i="26"/>
  <c r="H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F39" i="26"/>
  <c r="G39" i="26"/>
  <c r="H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F40" i="26"/>
  <c r="G40" i="26"/>
  <c r="H40" i="26"/>
  <c r="O40" i="26"/>
  <c r="P40" i="26"/>
  <c r="Q40" i="26"/>
  <c r="R40" i="26"/>
  <c r="S40" i="26"/>
  <c r="T40" i="26"/>
  <c r="U40" i="26"/>
  <c r="V40" i="26"/>
  <c r="W40" i="26"/>
  <c r="F41" i="26"/>
  <c r="G41" i="26"/>
  <c r="H41" i="26"/>
  <c r="O41" i="26"/>
  <c r="P41" i="26"/>
  <c r="Q41" i="26"/>
  <c r="R41" i="26"/>
  <c r="S41" i="26"/>
  <c r="T41" i="26"/>
  <c r="U41" i="26"/>
  <c r="V41" i="26"/>
  <c r="W41" i="26"/>
  <c r="F42" i="26"/>
  <c r="G42" i="26"/>
  <c r="H42" i="26"/>
  <c r="O42" i="26"/>
  <c r="P42" i="26"/>
  <c r="Q42" i="26"/>
  <c r="R42" i="26"/>
  <c r="S42" i="26"/>
  <c r="T42" i="26"/>
  <c r="U42" i="26"/>
  <c r="V42" i="26"/>
  <c r="W42" i="26"/>
  <c r="F43" i="26"/>
  <c r="G43" i="26"/>
  <c r="H43" i="26"/>
  <c r="K43" i="26"/>
  <c r="M43" i="26"/>
  <c r="N43" i="26"/>
  <c r="O43" i="26"/>
  <c r="P43" i="26"/>
  <c r="Q43" i="26"/>
  <c r="R43" i="26"/>
  <c r="S43" i="26"/>
  <c r="T43" i="26"/>
  <c r="U43" i="26"/>
  <c r="V43" i="26"/>
  <c r="W43" i="26"/>
  <c r="F44" i="26"/>
  <c r="W44" i="26"/>
  <c r="F45" i="26"/>
  <c r="G45" i="26"/>
  <c r="H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F46" i="26"/>
  <c r="G46" i="26"/>
  <c r="H46" i="26"/>
  <c r="D26" i="36"/>
  <c r="D37" i="36" s="1"/>
  <c r="E26" i="36"/>
  <c r="F26" i="36"/>
  <c r="G26" i="36"/>
  <c r="H26" i="36"/>
  <c r="I26" i="36"/>
  <c r="J26" i="36"/>
  <c r="K26" i="36"/>
  <c r="L26" i="36"/>
  <c r="M26" i="36"/>
  <c r="N26" i="36"/>
  <c r="O26" i="36"/>
  <c r="P26" i="36"/>
  <c r="Q26" i="36"/>
  <c r="R26" i="36"/>
  <c r="S26" i="36"/>
  <c r="T26" i="36"/>
  <c r="U26" i="36"/>
  <c r="D29" i="36"/>
  <c r="D32" i="36"/>
  <c r="D33" i="36"/>
  <c r="D34" i="36"/>
  <c r="D35" i="36"/>
  <c r="D38" i="36"/>
  <c r="D39" i="36"/>
  <c r="D40" i="36"/>
  <c r="D41" i="36"/>
  <c r="D42" i="36"/>
  <c r="D43" i="36"/>
  <c r="D44" i="36"/>
  <c r="D45" i="36"/>
  <c r="D46" i="36"/>
  <c r="E46" i="36"/>
  <c r="F46" i="36"/>
  <c r="H46" i="36"/>
  <c r="I46" i="36"/>
  <c r="J46" i="36"/>
  <c r="K46" i="36"/>
  <c r="L46" i="36"/>
  <c r="M46" i="36"/>
  <c r="N46" i="36"/>
  <c r="R37" i="26" l="1"/>
  <c r="G27" i="26"/>
  <c r="P37" i="26"/>
  <c r="N37" i="26"/>
  <c r="W37" i="26"/>
  <c r="O28" i="26"/>
  <c r="V36" i="26"/>
  <c r="G37" i="26"/>
  <c r="G30" i="26"/>
  <c r="G31" i="26" s="1"/>
  <c r="W27" i="26"/>
  <c r="F37" i="26"/>
  <c r="F30" i="26"/>
  <c r="F31" i="26" s="1"/>
  <c r="V27" i="26"/>
  <c r="H37" i="26"/>
  <c r="F28" i="26"/>
  <c r="N36" i="26"/>
  <c r="Q37" i="26"/>
  <c r="G36" i="26"/>
  <c r="W28" i="26"/>
  <c r="O37" i="26"/>
  <c r="W30" i="26"/>
  <c r="W31" i="26" s="1"/>
  <c r="Q28" i="26"/>
  <c r="P28" i="26"/>
  <c r="S27" i="26"/>
  <c r="Q27" i="26"/>
  <c r="H36" i="26"/>
  <c r="H28" i="26"/>
  <c r="P27" i="26"/>
  <c r="X37" i="26"/>
  <c r="O27" i="26"/>
  <c r="U36" i="26"/>
  <c r="D30" i="36"/>
  <c r="D31" i="36" s="1"/>
  <c r="X30" i="26"/>
  <c r="X27" i="26"/>
  <c r="M36" i="26"/>
  <c r="H44" i="26"/>
  <c r="H30" i="26"/>
  <c r="H31" i="26" s="1"/>
  <c r="D27" i="36"/>
  <c r="G44" i="26"/>
  <c r="D28" i="36"/>
  <c r="K27" i="26"/>
  <c r="K36" i="26"/>
  <c r="D36" i="36"/>
  <c r="S28" i="26"/>
  <c r="R27" i="26"/>
  <c r="T36" i="26"/>
  <c r="L36" i="26"/>
  <c r="U28" i="26"/>
  <c r="T28" i="26"/>
  <c r="M30" i="26"/>
  <c r="U27" i="26"/>
  <c r="M27" i="26"/>
  <c r="D26" i="2" l="1"/>
  <c r="D36" i="2" s="1"/>
  <c r="E26" i="2"/>
  <c r="E36" i="2" s="1"/>
  <c r="F26" i="2"/>
  <c r="F36" i="2" s="1"/>
  <c r="G26" i="2"/>
  <c r="G36" i="2" s="1"/>
  <c r="H36" i="2"/>
  <c r="I36" i="2"/>
  <c r="J36" i="2"/>
  <c r="K36" i="2"/>
  <c r="L36" i="2"/>
  <c r="M36" i="2"/>
  <c r="N36" i="2"/>
  <c r="O36" i="2"/>
  <c r="P36" i="2"/>
  <c r="D29" i="2"/>
  <c r="D30" i="2" s="1"/>
  <c r="D31" i="2" s="1"/>
  <c r="E29" i="2"/>
  <c r="E44" i="2" s="1"/>
  <c r="F29" i="2"/>
  <c r="F44" i="2" s="1"/>
  <c r="G29" i="2"/>
  <c r="G44" i="2" s="1"/>
  <c r="H29" i="2"/>
  <c r="H44" i="2" s="1"/>
  <c r="I29" i="2"/>
  <c r="I44" i="2" s="1"/>
  <c r="J29" i="2"/>
  <c r="K29" i="2"/>
  <c r="L29" i="2"/>
  <c r="L44" i="2" s="1"/>
  <c r="M29" i="2"/>
  <c r="N29" i="2"/>
  <c r="N44" i="2" s="1"/>
  <c r="O29" i="2"/>
  <c r="P29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F37" i="2"/>
  <c r="N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J44" i="2"/>
  <c r="M44" i="2"/>
  <c r="O44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3" i="2"/>
  <c r="D26" i="39"/>
  <c r="E26" i="39"/>
  <c r="E37" i="39" s="1"/>
  <c r="F26" i="39"/>
  <c r="F37" i="39" s="1"/>
  <c r="G26" i="39"/>
  <c r="G37" i="39" s="1"/>
  <c r="H26" i="39"/>
  <c r="H36" i="39" s="1"/>
  <c r="I26" i="39"/>
  <c r="I36" i="39" s="1"/>
  <c r="J26" i="39"/>
  <c r="J27" i="39" s="1"/>
  <c r="K26" i="39"/>
  <c r="L26" i="39"/>
  <c r="M26" i="39"/>
  <c r="M37" i="39" s="1"/>
  <c r="N26" i="39"/>
  <c r="N28" i="39" s="1"/>
  <c r="O26" i="39"/>
  <c r="O28" i="39" s="1"/>
  <c r="P26" i="39"/>
  <c r="P36" i="39" s="1"/>
  <c r="Q26" i="39"/>
  <c r="Q36" i="39" s="1"/>
  <c r="R26" i="39"/>
  <c r="R27" i="39" s="1"/>
  <c r="S26" i="39"/>
  <c r="T26" i="39"/>
  <c r="U26" i="39"/>
  <c r="U37" i="39" s="1"/>
  <c r="F28" i="39"/>
  <c r="G28" i="39"/>
  <c r="D29" i="39"/>
  <c r="D44" i="39" s="1"/>
  <c r="E29" i="39"/>
  <c r="F29" i="39"/>
  <c r="G29" i="39"/>
  <c r="G44" i="39" s="1"/>
  <c r="H29" i="39"/>
  <c r="I29" i="39"/>
  <c r="J29" i="39"/>
  <c r="J44" i="39" s="1"/>
  <c r="K29" i="39"/>
  <c r="L29" i="39"/>
  <c r="L44" i="39" s="1"/>
  <c r="M29" i="39"/>
  <c r="N29" i="39"/>
  <c r="O29" i="39"/>
  <c r="O44" i="39" s="1"/>
  <c r="P29" i="39"/>
  <c r="P44" i="39" s="1"/>
  <c r="Q29" i="39"/>
  <c r="Q30" i="39" s="1"/>
  <c r="Q31" i="39" s="1"/>
  <c r="R29" i="39"/>
  <c r="R44" i="39" s="1"/>
  <c r="S29" i="39"/>
  <c r="T29" i="39"/>
  <c r="T44" i="39" s="1"/>
  <c r="U29" i="39"/>
  <c r="D32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D33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D35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H37" i="39"/>
  <c r="Q37" i="39"/>
  <c r="D38" i="39"/>
  <c r="E38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D40" i="39"/>
  <c r="E40" i="39"/>
  <c r="F40" i="39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H44" i="39"/>
  <c r="K44" i="39"/>
  <c r="S44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L26" i="5"/>
  <c r="L28" i="5" s="1"/>
  <c r="M26" i="5"/>
  <c r="M36" i="5" s="1"/>
  <c r="N26" i="5"/>
  <c r="N36" i="5" s="1"/>
  <c r="O26" i="5"/>
  <c r="O27" i="5" s="1"/>
  <c r="P26" i="5"/>
  <c r="P27" i="5" s="1"/>
  <c r="Q26" i="5"/>
  <c r="R26" i="5"/>
  <c r="S26" i="5"/>
  <c r="T26" i="5"/>
  <c r="T28" i="5" s="1"/>
  <c r="N28" i="5"/>
  <c r="D29" i="5"/>
  <c r="D44" i="5" s="1"/>
  <c r="E29" i="5"/>
  <c r="E44" i="5" s="1"/>
  <c r="F29" i="5"/>
  <c r="G29" i="5"/>
  <c r="G44" i="5" s="1"/>
  <c r="H29" i="5"/>
  <c r="I29" i="5"/>
  <c r="I44" i="5" s="1"/>
  <c r="J29" i="5"/>
  <c r="J44" i="5" s="1"/>
  <c r="K29" i="5"/>
  <c r="K44" i="5" s="1"/>
  <c r="L29" i="5"/>
  <c r="L44" i="5" s="1"/>
  <c r="M29" i="5"/>
  <c r="M44" i="5" s="1"/>
  <c r="N29" i="5"/>
  <c r="N44" i="5" s="1"/>
  <c r="O29" i="5"/>
  <c r="O44" i="5" s="1"/>
  <c r="P29" i="5"/>
  <c r="P44" i="5" s="1"/>
  <c r="Q29" i="5"/>
  <c r="Q44" i="5" s="1"/>
  <c r="R29" i="5"/>
  <c r="R44" i="5" s="1"/>
  <c r="S29" i="5"/>
  <c r="S44" i="5" s="1"/>
  <c r="T29" i="5"/>
  <c r="T44" i="5" s="1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S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H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L46" i="5"/>
  <c r="M46" i="5"/>
  <c r="N46" i="5"/>
  <c r="O46" i="5"/>
  <c r="P46" i="5"/>
  <c r="Q46" i="5"/>
  <c r="R46" i="5"/>
  <c r="S46" i="5"/>
  <c r="T46" i="5"/>
  <c r="V26" i="34"/>
  <c r="W26" i="34"/>
  <c r="X26" i="34"/>
  <c r="Y26" i="34"/>
  <c r="Y28" i="34" s="1"/>
  <c r="Z26" i="34"/>
  <c r="Z28" i="34" s="1"/>
  <c r="AA26" i="34"/>
  <c r="AA28" i="34" s="1"/>
  <c r="AB26" i="34"/>
  <c r="I26" i="34"/>
  <c r="J26" i="34"/>
  <c r="K26" i="34"/>
  <c r="L26" i="34"/>
  <c r="M26" i="34"/>
  <c r="N26" i="34"/>
  <c r="O26" i="34"/>
  <c r="P26" i="34"/>
  <c r="Q26" i="34"/>
  <c r="R26" i="34"/>
  <c r="S26" i="34"/>
  <c r="S28" i="34" s="1"/>
  <c r="T26" i="34"/>
  <c r="T28" i="34" s="1"/>
  <c r="U26" i="34"/>
  <c r="W41" i="22"/>
  <c r="X41" i="22"/>
  <c r="Y41" i="22"/>
  <c r="Z41" i="22"/>
  <c r="AA41" i="22"/>
  <c r="AB41" i="22"/>
  <c r="AC41" i="22"/>
  <c r="AD41" i="22"/>
  <c r="D41" i="22"/>
  <c r="E41" i="22"/>
  <c r="F41" i="22"/>
  <c r="G41" i="22"/>
  <c r="U41" i="5"/>
  <c r="V41" i="5"/>
  <c r="W41" i="5"/>
  <c r="X41" i="5"/>
  <c r="Y41" i="5"/>
  <c r="Z41" i="5"/>
  <c r="H26" i="23"/>
  <c r="I26" i="23"/>
  <c r="D44" i="2" l="1"/>
  <c r="D27" i="2"/>
  <c r="N37" i="39"/>
  <c r="S30" i="39"/>
  <c r="S31" i="39" s="1"/>
  <c r="K30" i="39"/>
  <c r="K31" i="39" s="1"/>
  <c r="K37" i="2"/>
  <c r="D37" i="2"/>
  <c r="K31" i="2"/>
  <c r="L37" i="2"/>
  <c r="P31" i="2"/>
  <c r="F28" i="2"/>
  <c r="T37" i="5"/>
  <c r="D28" i="2"/>
  <c r="L37" i="5"/>
  <c r="R30" i="5"/>
  <c r="R31" i="5" s="1"/>
  <c r="M37" i="2"/>
  <c r="N27" i="5"/>
  <c r="R30" i="39"/>
  <c r="R31" i="39" s="1"/>
  <c r="H37" i="2"/>
  <c r="N31" i="2"/>
  <c r="P27" i="39"/>
  <c r="N30" i="39"/>
  <c r="N31" i="39" s="1"/>
  <c r="F30" i="39"/>
  <c r="F31" i="39" s="1"/>
  <c r="G37" i="2"/>
  <c r="L31" i="2"/>
  <c r="E27" i="2"/>
  <c r="F30" i="2"/>
  <c r="F31" i="2" s="1"/>
  <c r="N37" i="5"/>
  <c r="O28" i="5"/>
  <c r="P37" i="39"/>
  <c r="I30" i="39"/>
  <c r="I31" i="39" s="1"/>
  <c r="Q44" i="39"/>
  <c r="P30" i="39"/>
  <c r="P31" i="39" s="1"/>
  <c r="H30" i="39"/>
  <c r="H31" i="39" s="1"/>
  <c r="O37" i="39"/>
  <c r="K44" i="2"/>
  <c r="E37" i="2"/>
  <c r="H31" i="2"/>
  <c r="G28" i="2"/>
  <c r="G27" i="2"/>
  <c r="M37" i="5"/>
  <c r="L30" i="39"/>
  <c r="L31" i="39" s="1"/>
  <c r="E30" i="2"/>
  <c r="E31" i="2" s="1"/>
  <c r="J31" i="2"/>
  <c r="E28" i="2"/>
  <c r="M27" i="5"/>
  <c r="O30" i="39"/>
  <c r="O31" i="39" s="1"/>
  <c r="G30" i="39"/>
  <c r="G31" i="39" s="1"/>
  <c r="P44" i="2"/>
  <c r="J30" i="39"/>
  <c r="J31" i="39" s="1"/>
  <c r="J37" i="2"/>
  <c r="U30" i="39"/>
  <c r="U31" i="39" s="1"/>
  <c r="M30" i="39"/>
  <c r="M31" i="39" s="1"/>
  <c r="E30" i="39"/>
  <c r="E31" i="39" s="1"/>
  <c r="M31" i="2"/>
  <c r="G30" i="2"/>
  <c r="G31" i="2" s="1"/>
  <c r="I44" i="39"/>
  <c r="T30" i="39"/>
  <c r="T31" i="39" s="1"/>
  <c r="O37" i="2"/>
  <c r="I31" i="2"/>
  <c r="U27" i="39"/>
  <c r="U36" i="39"/>
  <c r="M27" i="39"/>
  <c r="M36" i="39"/>
  <c r="E27" i="39"/>
  <c r="E36" i="39"/>
  <c r="M30" i="5"/>
  <c r="M31" i="5" s="1"/>
  <c r="T27" i="5"/>
  <c r="T36" i="5"/>
  <c r="L27" i="5"/>
  <c r="L36" i="5"/>
  <c r="T27" i="39"/>
  <c r="T36" i="39"/>
  <c r="L27" i="39"/>
  <c r="L36" i="39"/>
  <c r="D27" i="39"/>
  <c r="D36" i="39"/>
  <c r="L30" i="5"/>
  <c r="L31" i="5" s="1"/>
  <c r="S27" i="5"/>
  <c r="S36" i="5"/>
  <c r="I37" i="39"/>
  <c r="Q28" i="39"/>
  <c r="S27" i="39"/>
  <c r="S36" i="39"/>
  <c r="K27" i="39"/>
  <c r="K36" i="39"/>
  <c r="AB28" i="34"/>
  <c r="M28" i="5"/>
  <c r="R28" i="5"/>
  <c r="R36" i="5"/>
  <c r="P28" i="39"/>
  <c r="Q27" i="39"/>
  <c r="R28" i="39"/>
  <c r="R36" i="39"/>
  <c r="J28" i="39"/>
  <c r="J36" i="39"/>
  <c r="Q37" i="5"/>
  <c r="Q36" i="5"/>
  <c r="P30" i="5"/>
  <c r="P31" i="5" s="1"/>
  <c r="P36" i="5"/>
  <c r="T30" i="5"/>
  <c r="T31" i="5" s="1"/>
  <c r="O37" i="5"/>
  <c r="O36" i="5"/>
  <c r="I28" i="39"/>
  <c r="I27" i="39"/>
  <c r="O27" i="39"/>
  <c r="O36" i="39"/>
  <c r="G27" i="39"/>
  <c r="G36" i="39"/>
  <c r="S30" i="5"/>
  <c r="S31" i="5" s="1"/>
  <c r="D30" i="39"/>
  <c r="D31" i="39" s="1"/>
  <c r="H28" i="39"/>
  <c r="H27" i="39"/>
  <c r="N27" i="39"/>
  <c r="N36" i="39"/>
  <c r="F27" i="39"/>
  <c r="F36" i="39"/>
  <c r="I37" i="2"/>
  <c r="O31" i="2"/>
  <c r="F27" i="2"/>
  <c r="N44" i="39"/>
  <c r="F44" i="39"/>
  <c r="T37" i="39"/>
  <c r="U44" i="39"/>
  <c r="M44" i="39"/>
  <c r="E44" i="39"/>
  <c r="S37" i="39"/>
  <c r="K37" i="39"/>
  <c r="U28" i="39"/>
  <c r="M28" i="39"/>
  <c r="E28" i="39"/>
  <c r="D37" i="39"/>
  <c r="R37" i="39"/>
  <c r="J37" i="39"/>
  <c r="T28" i="39"/>
  <c r="L28" i="39"/>
  <c r="D28" i="39"/>
  <c r="L37" i="39"/>
  <c r="S28" i="39"/>
  <c r="K28" i="39"/>
  <c r="P37" i="5"/>
  <c r="O30" i="5"/>
  <c r="O31" i="5" s="1"/>
  <c r="Q28" i="5"/>
  <c r="R27" i="5"/>
  <c r="F44" i="5"/>
  <c r="N30" i="5"/>
  <c r="N31" i="5" s="1"/>
  <c r="P28" i="5"/>
  <c r="Q27" i="5"/>
  <c r="R37" i="5"/>
  <c r="Q30" i="5"/>
  <c r="Q31" i="5" s="1"/>
  <c r="S28" i="5"/>
  <c r="Z33" i="22" l="1"/>
  <c r="AA33" i="22"/>
  <c r="W34" i="22"/>
  <c r="X34" i="22"/>
  <c r="Y34" i="22"/>
  <c r="Z34" i="22"/>
  <c r="AA34" i="22"/>
  <c r="Z35" i="22"/>
  <c r="AA35" i="22"/>
  <c r="W38" i="22"/>
  <c r="X38" i="22"/>
  <c r="Y38" i="22"/>
  <c r="Z38" i="22"/>
  <c r="AA38" i="22"/>
  <c r="W39" i="22"/>
  <c r="X39" i="22"/>
  <c r="Y39" i="22"/>
  <c r="Z39" i="22"/>
  <c r="AA39" i="22"/>
  <c r="W40" i="22"/>
  <c r="X40" i="22"/>
  <c r="Y40" i="22"/>
  <c r="Z40" i="22"/>
  <c r="AA40" i="22"/>
  <c r="X42" i="22"/>
  <c r="Y42" i="22"/>
  <c r="Z42" i="22"/>
  <c r="AA42" i="22"/>
  <c r="X43" i="22"/>
  <c r="Y43" i="22"/>
  <c r="Z43" i="22"/>
  <c r="AA43" i="22"/>
  <c r="W45" i="22"/>
  <c r="X45" i="22"/>
  <c r="Y45" i="22"/>
  <c r="Z45" i="22"/>
  <c r="AA45" i="22"/>
  <c r="L26" i="17"/>
  <c r="M26" i="17"/>
  <c r="N26" i="17"/>
  <c r="O26" i="17"/>
  <c r="P26" i="17"/>
  <c r="Q26" i="17"/>
  <c r="R26" i="17"/>
  <c r="S26" i="17"/>
  <c r="T26" i="17"/>
  <c r="U26" i="17"/>
  <c r="V26" i="17"/>
  <c r="W26" i="17"/>
  <c r="W28" i="17" s="1"/>
  <c r="W29" i="17"/>
  <c r="W44" i="17" s="1"/>
  <c r="W32" i="17"/>
  <c r="W33" i="17"/>
  <c r="W34" i="17"/>
  <c r="W35" i="17"/>
  <c r="W38" i="17"/>
  <c r="W39" i="17"/>
  <c r="W40" i="17"/>
  <c r="W41" i="17"/>
  <c r="W42" i="17"/>
  <c r="W43" i="17"/>
  <c r="W45" i="17"/>
  <c r="O46" i="17"/>
  <c r="P46" i="17"/>
  <c r="Q46" i="17"/>
  <c r="R46" i="17"/>
  <c r="S46" i="17"/>
  <c r="T46" i="17"/>
  <c r="U46" i="17"/>
  <c r="V46" i="17"/>
  <c r="W46" i="17"/>
  <c r="H18" i="14"/>
  <c r="H6" i="14"/>
  <c r="H12" i="14"/>
  <c r="H8" i="14"/>
  <c r="H7" i="14" s="1"/>
  <c r="H23" i="14"/>
  <c r="G26" i="10"/>
  <c r="H26" i="10"/>
  <c r="I26" i="10"/>
  <c r="I37" i="10" s="1"/>
  <c r="J26" i="10"/>
  <c r="J36" i="10" s="1"/>
  <c r="K26" i="10"/>
  <c r="K37" i="10" s="1"/>
  <c r="L26" i="10"/>
  <c r="L27" i="10" s="1"/>
  <c r="M26" i="10"/>
  <c r="N26" i="10"/>
  <c r="N36" i="10" s="1"/>
  <c r="O26" i="10"/>
  <c r="O37" i="10" s="1"/>
  <c r="P26" i="10"/>
  <c r="Q26" i="10"/>
  <c r="Q36" i="10" s="1"/>
  <c r="R26" i="10"/>
  <c r="R36" i="10" s="1"/>
  <c r="S26" i="10"/>
  <c r="S37" i="10" s="1"/>
  <c r="T26" i="10"/>
  <c r="T37" i="10" s="1"/>
  <c r="U26" i="10"/>
  <c r="V26" i="10"/>
  <c r="V36" i="10" s="1"/>
  <c r="W26" i="10"/>
  <c r="W28" i="10" s="1"/>
  <c r="X37" i="10"/>
  <c r="Y36" i="10"/>
  <c r="J27" i="10"/>
  <c r="R28" i="10"/>
  <c r="Y29" i="10"/>
  <c r="Z29" i="10"/>
  <c r="Z44" i="10" s="1"/>
  <c r="AA29" i="10"/>
  <c r="AA44" i="10" s="1"/>
  <c r="AB29" i="10"/>
  <c r="AC29" i="10"/>
  <c r="I32" i="10"/>
  <c r="J32" i="10"/>
  <c r="O32" i="10"/>
  <c r="T32" i="10"/>
  <c r="U32" i="10"/>
  <c r="V32" i="10"/>
  <c r="W32" i="10"/>
  <c r="X32" i="10"/>
  <c r="Y32" i="10"/>
  <c r="Z32" i="10"/>
  <c r="I33" i="10"/>
  <c r="J33" i="10"/>
  <c r="K33" i="10"/>
  <c r="L33" i="10"/>
  <c r="M33" i="10"/>
  <c r="N33" i="10"/>
  <c r="O33" i="10"/>
  <c r="T33" i="10"/>
  <c r="U33" i="10"/>
  <c r="V33" i="10"/>
  <c r="W33" i="10"/>
  <c r="X33" i="10"/>
  <c r="Y33" i="10"/>
  <c r="Z33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J35" i="10"/>
  <c r="K35" i="10"/>
  <c r="L35" i="10"/>
  <c r="M35" i="10"/>
  <c r="N35" i="10"/>
  <c r="O35" i="10"/>
  <c r="T35" i="10"/>
  <c r="U35" i="10"/>
  <c r="V35" i="10"/>
  <c r="W35" i="10"/>
  <c r="X35" i="10"/>
  <c r="Y35" i="10"/>
  <c r="Z35" i="10"/>
  <c r="J37" i="10"/>
  <c r="L37" i="10"/>
  <c r="P37" i="10"/>
  <c r="R37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J39" i="10"/>
  <c r="K39" i="10"/>
  <c r="L39" i="10"/>
  <c r="M39" i="10"/>
  <c r="N39" i="10"/>
  <c r="O39" i="10"/>
  <c r="P39" i="10"/>
  <c r="Q39" i="10"/>
  <c r="R39" i="10"/>
  <c r="T39" i="10"/>
  <c r="U39" i="10"/>
  <c r="V39" i="10"/>
  <c r="W39" i="10"/>
  <c r="X39" i="10"/>
  <c r="Y39" i="10"/>
  <c r="Z39" i="10"/>
  <c r="AA39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I43" i="10"/>
  <c r="J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V46" i="10"/>
  <c r="W46" i="10"/>
  <c r="Y46" i="10"/>
  <c r="V37" i="10" l="1"/>
  <c r="V28" i="10"/>
  <c r="J28" i="10"/>
  <c r="N37" i="10"/>
  <c r="I28" i="10"/>
  <c r="T27" i="10"/>
  <c r="N27" i="10"/>
  <c r="Y30" i="10"/>
  <c r="Y31" i="10" s="1"/>
  <c r="X28" i="10"/>
  <c r="X36" i="10"/>
  <c r="P28" i="10"/>
  <c r="P36" i="10"/>
  <c r="Q37" i="10"/>
  <c r="Y37" i="10"/>
  <c r="U36" i="10"/>
  <c r="M36" i="10"/>
  <c r="T28" i="10"/>
  <c r="T36" i="10"/>
  <c r="L36" i="10"/>
  <c r="W27" i="10"/>
  <c r="W36" i="10"/>
  <c r="W37" i="10"/>
  <c r="Q28" i="10"/>
  <c r="V27" i="10"/>
  <c r="I27" i="10"/>
  <c r="S28" i="10"/>
  <c r="K36" i="10"/>
  <c r="O27" i="10"/>
  <c r="O36" i="10"/>
  <c r="O28" i="10"/>
  <c r="W27" i="17"/>
  <c r="W36" i="17"/>
  <c r="W37" i="17"/>
  <c r="W30" i="17"/>
  <c r="W31" i="17" s="1"/>
  <c r="Y28" i="10"/>
  <c r="Y44" i="10"/>
  <c r="U27" i="10"/>
  <c r="M27" i="10"/>
  <c r="U28" i="10"/>
  <c r="U37" i="10"/>
  <c r="M37" i="10"/>
  <c r="K27" i="10"/>
  <c r="AB29" i="24"/>
  <c r="AF29" i="19"/>
  <c r="U29" i="15"/>
  <c r="M29" i="9"/>
  <c r="V7" i="3"/>
  <c r="U7" i="3"/>
  <c r="T7" i="3"/>
  <c r="T20" i="3"/>
  <c r="T19" i="3"/>
  <c r="S20" i="3"/>
  <c r="R20" i="3"/>
  <c r="S19" i="3"/>
  <c r="R19" i="3"/>
  <c r="S7" i="3"/>
  <c r="R7" i="3"/>
  <c r="Q7" i="3"/>
  <c r="P7" i="3"/>
  <c r="Q20" i="3"/>
  <c r="P20" i="3"/>
  <c r="Q19" i="3"/>
  <c r="P19" i="3"/>
  <c r="P13" i="3"/>
  <c r="O13" i="3"/>
  <c r="O7" i="3"/>
  <c r="N7" i="3"/>
  <c r="O20" i="3"/>
  <c r="N20" i="3"/>
  <c r="O19" i="3"/>
  <c r="N19" i="3"/>
  <c r="M7" i="3"/>
  <c r="L7" i="3"/>
  <c r="M20" i="3"/>
  <c r="L20" i="3"/>
  <c r="M19" i="3"/>
  <c r="L19" i="3"/>
  <c r="M13" i="3"/>
  <c r="L13" i="3"/>
  <c r="K20" i="3"/>
  <c r="J20" i="3"/>
  <c r="K19" i="3"/>
  <c r="J19" i="3"/>
  <c r="K7" i="3"/>
  <c r="J7" i="3"/>
  <c r="J13" i="3"/>
  <c r="K13" i="3"/>
  <c r="I7" i="3"/>
  <c r="H7" i="3"/>
  <c r="I6" i="3"/>
  <c r="H6" i="3"/>
  <c r="I15" i="3"/>
  <c r="H15" i="3"/>
  <c r="I20" i="3"/>
  <c r="H20" i="3"/>
  <c r="I19" i="3"/>
  <c r="H19" i="3"/>
  <c r="G19" i="3"/>
  <c r="G20" i="3"/>
  <c r="F20" i="3"/>
  <c r="F19" i="3"/>
  <c r="E19" i="3"/>
  <c r="D19" i="3"/>
  <c r="G23" i="3"/>
  <c r="G18" i="3" s="1"/>
  <c r="F23" i="3"/>
  <c r="F18" i="3" s="1"/>
  <c r="G9" i="3"/>
  <c r="F9" i="3"/>
  <c r="E18" i="3"/>
  <c r="E23" i="3" s="1"/>
  <c r="D22" i="3"/>
  <c r="D20" i="3"/>
  <c r="D18" i="3"/>
  <c r="D23" i="3" s="1"/>
  <c r="D16" i="3"/>
  <c r="D15" i="3"/>
  <c r="D14" i="3"/>
  <c r="D12" i="3"/>
  <c r="D11" i="3"/>
  <c r="D10" i="3" s="1"/>
  <c r="D9" i="3"/>
  <c r="D6" i="3"/>
  <c r="D8" i="3" s="1"/>
  <c r="D7" i="3" s="1"/>
  <c r="F6" i="3"/>
  <c r="F8" i="3" s="1"/>
  <c r="F7" i="3" s="1"/>
  <c r="G6" i="3"/>
  <c r="G8" i="3" s="1"/>
  <c r="G7" i="3" s="1"/>
  <c r="G12" i="3"/>
  <c r="G10" i="3" s="1"/>
  <c r="F12" i="3"/>
  <c r="F10" i="3" s="1"/>
  <c r="E6" i="3"/>
  <c r="E8" i="3" s="1"/>
  <c r="E7" i="3" s="1"/>
  <c r="E22" i="3"/>
  <c r="E20" i="3"/>
  <c r="E16" i="3"/>
  <c r="E15" i="3"/>
  <c r="E12" i="3"/>
  <c r="E11" i="3"/>
  <c r="E9" i="3"/>
  <c r="W15" i="24"/>
  <c r="W29" i="24" s="1"/>
  <c r="W32" i="24"/>
  <c r="W26" i="24"/>
  <c r="V15" i="24"/>
  <c r="V29" i="24" s="1"/>
  <c r="U15" i="24"/>
  <c r="U29" i="24" s="1"/>
  <c r="V26" i="24"/>
  <c r="U5" i="24"/>
  <c r="U13" i="24" s="1"/>
  <c r="U46" i="24" s="1"/>
  <c r="T5" i="24"/>
  <c r="T26" i="24" s="1"/>
  <c r="T36" i="24" s="1"/>
  <c r="S5" i="24"/>
  <c r="S26" i="24" s="1"/>
  <c r="S36" i="24" s="1"/>
  <c r="R5" i="24"/>
  <c r="R26" i="24" s="1"/>
  <c r="Q5" i="24"/>
  <c r="Q13" i="24" s="1"/>
  <c r="Q46" i="24" s="1"/>
  <c r="P5" i="24"/>
  <c r="P13" i="24" s="1"/>
  <c r="V32" i="24"/>
  <c r="U7" i="24"/>
  <c r="U32" i="24" s="1"/>
  <c r="V46" i="24"/>
  <c r="X26" i="24"/>
  <c r="X37" i="24" s="1"/>
  <c r="Y26" i="24"/>
  <c r="Y37" i="24" s="1"/>
  <c r="Z26" i="24"/>
  <c r="X29" i="24"/>
  <c r="X44" i="24" s="1"/>
  <c r="Y29" i="24"/>
  <c r="Y44" i="24" s="1"/>
  <c r="Z29" i="24"/>
  <c r="Z44" i="24" s="1"/>
  <c r="AA29" i="24"/>
  <c r="X32" i="24"/>
  <c r="Y32" i="24"/>
  <c r="Q33" i="24"/>
  <c r="R33" i="24"/>
  <c r="S33" i="24"/>
  <c r="T33" i="24"/>
  <c r="U33" i="24"/>
  <c r="V33" i="24"/>
  <c r="W33" i="24"/>
  <c r="X33" i="24"/>
  <c r="Y33" i="24"/>
  <c r="Q34" i="24"/>
  <c r="R34" i="24"/>
  <c r="S34" i="24"/>
  <c r="T34" i="24"/>
  <c r="U34" i="24"/>
  <c r="V34" i="24"/>
  <c r="W34" i="24"/>
  <c r="X34" i="24"/>
  <c r="Y34" i="24"/>
  <c r="Q35" i="24"/>
  <c r="R35" i="24"/>
  <c r="S35" i="24"/>
  <c r="T35" i="24"/>
  <c r="U35" i="24"/>
  <c r="V35" i="24"/>
  <c r="W35" i="24"/>
  <c r="X35" i="24"/>
  <c r="Y35" i="24"/>
  <c r="Q38" i="24"/>
  <c r="R38" i="24"/>
  <c r="S38" i="24"/>
  <c r="T38" i="24"/>
  <c r="U38" i="24"/>
  <c r="V38" i="24"/>
  <c r="W38" i="24"/>
  <c r="X38" i="24"/>
  <c r="Y38" i="24"/>
  <c r="Z38" i="24"/>
  <c r="Q39" i="24"/>
  <c r="R39" i="24"/>
  <c r="S39" i="24"/>
  <c r="T39" i="24"/>
  <c r="U39" i="24"/>
  <c r="V39" i="24"/>
  <c r="W39" i="24"/>
  <c r="X39" i="24"/>
  <c r="Y39" i="24"/>
  <c r="Z39" i="24"/>
  <c r="Q40" i="24"/>
  <c r="R40" i="24"/>
  <c r="S40" i="24"/>
  <c r="T40" i="24"/>
  <c r="U40" i="24"/>
  <c r="V40" i="24"/>
  <c r="W40" i="24"/>
  <c r="X40" i="24"/>
  <c r="Y40" i="24"/>
  <c r="Z40" i="24"/>
  <c r="Q41" i="24"/>
  <c r="R41" i="24"/>
  <c r="S41" i="24"/>
  <c r="T41" i="24"/>
  <c r="U41" i="24"/>
  <c r="V41" i="24"/>
  <c r="W41" i="24"/>
  <c r="X41" i="24"/>
  <c r="Y41" i="24"/>
  <c r="Z41" i="24"/>
  <c r="Q42" i="24"/>
  <c r="R42" i="24"/>
  <c r="S42" i="24"/>
  <c r="T42" i="24"/>
  <c r="U42" i="24"/>
  <c r="V42" i="24"/>
  <c r="W42" i="24"/>
  <c r="X42" i="24"/>
  <c r="Y42" i="24"/>
  <c r="Z42" i="24"/>
  <c r="Q43" i="24"/>
  <c r="R43" i="24"/>
  <c r="S43" i="24"/>
  <c r="T43" i="24"/>
  <c r="U43" i="24"/>
  <c r="V43" i="24"/>
  <c r="W43" i="24"/>
  <c r="X43" i="24"/>
  <c r="Y43" i="24"/>
  <c r="Z43" i="24"/>
  <c r="Q45" i="24"/>
  <c r="R45" i="24"/>
  <c r="S45" i="24"/>
  <c r="T45" i="24"/>
  <c r="U45" i="24"/>
  <c r="V45" i="24"/>
  <c r="W45" i="24"/>
  <c r="X45" i="24"/>
  <c r="Y45" i="24"/>
  <c r="Z45" i="24"/>
  <c r="X46" i="24"/>
  <c r="Y46" i="24"/>
  <c r="T15" i="24"/>
  <c r="T29" i="24" s="1"/>
  <c r="S15" i="24"/>
  <c r="S29" i="24" s="1"/>
  <c r="S7" i="24"/>
  <c r="T7" i="24"/>
  <c r="T32" i="24" s="1"/>
  <c r="Q15" i="24"/>
  <c r="Q29" i="24" s="1"/>
  <c r="Q44" i="24" s="1"/>
  <c r="R15" i="24"/>
  <c r="R29" i="24" s="1"/>
  <c r="Q7" i="24"/>
  <c r="Q32" i="24" s="1"/>
  <c r="R7" i="24"/>
  <c r="R32" i="24" s="1"/>
  <c r="P15" i="24"/>
  <c r="O15" i="24"/>
  <c r="P7" i="24"/>
  <c r="O7" i="24"/>
  <c r="O5" i="24"/>
  <c r="O13" i="24" s="1"/>
  <c r="N15" i="24"/>
  <c r="M15" i="24"/>
  <c r="N7" i="24"/>
  <c r="M7" i="24"/>
  <c r="N5" i="24"/>
  <c r="M5" i="24"/>
  <c r="L5" i="24"/>
  <c r="K5" i="24"/>
  <c r="K13" i="24" s="1"/>
  <c r="L7" i="24"/>
  <c r="L15" i="24"/>
  <c r="L22" i="24"/>
  <c r="I20" i="24"/>
  <c r="I15" i="24"/>
  <c r="D33" i="13"/>
  <c r="D34" i="13"/>
  <c r="D35" i="13"/>
  <c r="D38" i="13"/>
  <c r="D39" i="13"/>
  <c r="D40" i="13"/>
  <c r="D41" i="13"/>
  <c r="D42" i="13"/>
  <c r="D43" i="13"/>
  <c r="D45" i="13"/>
  <c r="D46" i="13"/>
  <c r="D32" i="13"/>
  <c r="E15" i="13"/>
  <c r="D15" i="13"/>
  <c r="D29" i="13" s="1"/>
  <c r="D5" i="31"/>
  <c r="D26" i="31" s="1"/>
  <c r="R46" i="31"/>
  <c r="Q46" i="31"/>
  <c r="E10" i="29"/>
  <c r="D10" i="29"/>
  <c r="M9" i="29"/>
  <c r="L9" i="29"/>
  <c r="I6" i="12"/>
  <c r="H6" i="12"/>
  <c r="T9" i="7"/>
  <c r="S9" i="7"/>
  <c r="T44" i="24" l="1"/>
  <c r="T13" i="24"/>
  <c r="T46" i="24" s="1"/>
  <c r="R44" i="24"/>
  <c r="D44" i="13"/>
  <c r="W37" i="24"/>
  <c r="W36" i="24"/>
  <c r="Z30" i="24"/>
  <c r="Z31" i="24" s="1"/>
  <c r="V28" i="24"/>
  <c r="V36" i="24"/>
  <c r="S44" i="24"/>
  <c r="U26" i="24"/>
  <c r="U36" i="24" s="1"/>
  <c r="R13" i="24"/>
  <c r="R46" i="24" s="1"/>
  <c r="R37" i="24"/>
  <c r="R36" i="24"/>
  <c r="V27" i="24"/>
  <c r="W46" i="24"/>
  <c r="AA31" i="24"/>
  <c r="Y30" i="24"/>
  <c r="Y31" i="24" s="1"/>
  <c r="Q26" i="31"/>
  <c r="D30" i="31"/>
  <c r="D31" i="31" s="1"/>
  <c r="D28" i="31"/>
  <c r="D36" i="31"/>
  <c r="D27" i="31"/>
  <c r="D37" i="31"/>
  <c r="E10" i="3"/>
  <c r="S32" i="24"/>
  <c r="U44" i="24"/>
  <c r="W44" i="24"/>
  <c r="X27" i="24"/>
  <c r="X36" i="24"/>
  <c r="Z37" i="24"/>
  <c r="Z28" i="24"/>
  <c r="Z27" i="24"/>
  <c r="AB31" i="24"/>
  <c r="Y27" i="24"/>
  <c r="Y36" i="24"/>
  <c r="AF31" i="19"/>
  <c r="U31" i="15"/>
  <c r="M31" i="9"/>
  <c r="W30" i="24"/>
  <c r="W31" i="24" s="1"/>
  <c r="W28" i="24"/>
  <c r="W27" i="24"/>
  <c r="V30" i="24"/>
  <c r="V31" i="24" s="1"/>
  <c r="V44" i="24"/>
  <c r="T28" i="24"/>
  <c r="T37" i="24"/>
  <c r="T30" i="24"/>
  <c r="T31" i="24" s="1"/>
  <c r="T27" i="24"/>
  <c r="S28" i="24"/>
  <c r="S30" i="24"/>
  <c r="S31" i="24" s="1"/>
  <c r="S27" i="24"/>
  <c r="S37" i="24"/>
  <c r="S13" i="24"/>
  <c r="S46" i="24" s="1"/>
  <c r="R30" i="24"/>
  <c r="R31" i="24" s="1"/>
  <c r="R28" i="24"/>
  <c r="R27" i="24"/>
  <c r="Q26" i="24"/>
  <c r="Q36" i="24" s="1"/>
  <c r="V37" i="24"/>
  <c r="Y28" i="24"/>
  <c r="X28" i="24"/>
  <c r="X30" i="24"/>
  <c r="X31" i="24" s="1"/>
  <c r="U30" i="24" l="1"/>
  <c r="U31" i="24" s="1"/>
  <c r="U28" i="24"/>
  <c r="U37" i="24"/>
  <c r="U27" i="24"/>
  <c r="R37" i="31"/>
  <c r="R30" i="31"/>
  <c r="R31" i="31" s="1"/>
  <c r="Q30" i="31"/>
  <c r="Q31" i="31" s="1"/>
  <c r="Q28" i="31"/>
  <c r="Q27" i="31"/>
  <c r="Q36" i="31"/>
  <c r="Q37" i="31"/>
  <c r="Q27" i="24"/>
  <c r="Q30" i="24"/>
  <c r="Q31" i="24" s="1"/>
  <c r="Q37" i="24"/>
  <c r="Q28" i="24"/>
  <c r="V46" i="39"/>
  <c r="W46" i="39"/>
  <c r="X46" i="39"/>
  <c r="Y46" i="39"/>
  <c r="Z46" i="39"/>
  <c r="AA46" i="39"/>
  <c r="E46" i="40"/>
  <c r="F46" i="40"/>
  <c r="G46" i="40"/>
  <c r="H46" i="40"/>
  <c r="I46" i="40"/>
  <c r="J46" i="40"/>
  <c r="M46" i="40"/>
  <c r="N46" i="40"/>
  <c r="O46" i="40"/>
  <c r="P46" i="40"/>
  <c r="Q46" i="40"/>
  <c r="R46" i="40"/>
  <c r="S46" i="40"/>
  <c r="T46" i="40"/>
  <c r="U46" i="40"/>
  <c r="V46" i="40"/>
  <c r="W46" i="40"/>
  <c r="X46" i="40"/>
  <c r="Y46" i="40"/>
  <c r="Z46" i="40"/>
  <c r="AA46" i="40"/>
  <c r="AB46" i="40"/>
  <c r="D46" i="40"/>
  <c r="E46" i="38"/>
  <c r="F46" i="38"/>
  <c r="G46" i="38"/>
  <c r="H46" i="38"/>
  <c r="I46" i="38"/>
  <c r="J46" i="38"/>
  <c r="K46" i="38"/>
  <c r="L46" i="38"/>
  <c r="M46" i="38"/>
  <c r="N46" i="38"/>
  <c r="O46" i="38"/>
  <c r="P46" i="38"/>
  <c r="Q46" i="38"/>
  <c r="R46" i="38"/>
  <c r="S46" i="38"/>
  <c r="T46" i="38"/>
  <c r="U46" i="38"/>
  <c r="V46" i="38"/>
  <c r="W46" i="38"/>
  <c r="X46" i="38"/>
  <c r="Y46" i="38"/>
  <c r="Z46" i="38"/>
  <c r="AA46" i="38"/>
  <c r="AB46" i="38"/>
  <c r="AC46" i="38"/>
  <c r="AD46" i="38"/>
  <c r="AE46" i="38"/>
  <c r="AF46" i="38"/>
  <c r="AG46" i="38"/>
  <c r="AH46" i="38"/>
  <c r="AI46" i="38"/>
  <c r="AJ46" i="38"/>
  <c r="AK46" i="38"/>
  <c r="D46" i="38"/>
  <c r="E46" i="37"/>
  <c r="F46" i="37"/>
  <c r="G46" i="37"/>
  <c r="H46" i="37"/>
  <c r="I46" i="37"/>
  <c r="J46" i="37"/>
  <c r="K46" i="37"/>
  <c r="L46" i="37"/>
  <c r="M46" i="37"/>
  <c r="N46" i="37"/>
  <c r="O46" i="37"/>
  <c r="P46" i="37"/>
  <c r="Q46" i="37"/>
  <c r="R46" i="37"/>
  <c r="S46" i="37"/>
  <c r="T46" i="37"/>
  <c r="U46" i="37"/>
  <c r="V46" i="37"/>
  <c r="W46" i="37"/>
  <c r="X46" i="37"/>
  <c r="Y46" i="37"/>
  <c r="D46" i="37"/>
  <c r="E46" i="34"/>
  <c r="F46" i="34"/>
  <c r="G46" i="34"/>
  <c r="H46" i="34"/>
  <c r="AC46" i="34"/>
  <c r="D46" i="34"/>
  <c r="W46" i="36"/>
  <c r="E46" i="32"/>
  <c r="F46" i="32"/>
  <c r="G46" i="32"/>
  <c r="AB46" i="32"/>
  <c r="AC46" i="32"/>
  <c r="D46" i="32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AA46" i="30"/>
  <c r="AB46" i="30"/>
  <c r="AC46" i="30"/>
  <c r="D46" i="30"/>
  <c r="E46" i="29"/>
  <c r="F46" i="29"/>
  <c r="G46" i="29"/>
  <c r="H46" i="29"/>
  <c r="I46" i="29"/>
  <c r="J46" i="29"/>
  <c r="K46" i="29"/>
  <c r="L46" i="29"/>
  <c r="M46" i="29"/>
  <c r="N46" i="29"/>
  <c r="O46" i="29"/>
  <c r="P46" i="29"/>
  <c r="D46" i="29"/>
  <c r="E46" i="28"/>
  <c r="F46" i="28"/>
  <c r="G46" i="28"/>
  <c r="D46" i="28"/>
  <c r="E46" i="27"/>
  <c r="F46" i="27"/>
  <c r="G46" i="27"/>
  <c r="Y46" i="27"/>
  <c r="AA46" i="27"/>
  <c r="AB46" i="27"/>
  <c r="AC46" i="27"/>
  <c r="AD46" i="27"/>
  <c r="AE46" i="27"/>
  <c r="D46" i="27"/>
  <c r="E46" i="26"/>
  <c r="Z46" i="26"/>
  <c r="AA46" i="26"/>
  <c r="AB46" i="26"/>
  <c r="AC46" i="26"/>
  <c r="AD46" i="26"/>
  <c r="D46" i="26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D46" i="25"/>
  <c r="E46" i="24"/>
  <c r="F46" i="24"/>
  <c r="G46" i="24"/>
  <c r="H46" i="24"/>
  <c r="I46" i="24"/>
  <c r="J46" i="24"/>
  <c r="K46" i="24"/>
  <c r="L46" i="24"/>
  <c r="M46" i="24"/>
  <c r="N46" i="24"/>
  <c r="O46" i="24"/>
  <c r="P46" i="24"/>
  <c r="D46" i="24"/>
  <c r="E46" i="23"/>
  <c r="F46" i="23"/>
  <c r="G46" i="23"/>
  <c r="U46" i="23"/>
  <c r="AB46" i="23"/>
  <c r="D46" i="23"/>
  <c r="E46" i="22"/>
  <c r="F46" i="22"/>
  <c r="G46" i="22"/>
  <c r="AB46" i="22"/>
  <c r="AC46" i="22"/>
  <c r="D46" i="22"/>
  <c r="E46" i="21"/>
  <c r="F46" i="21"/>
  <c r="G46" i="21"/>
  <c r="H46" i="21"/>
  <c r="I46" i="21"/>
  <c r="J46" i="21"/>
  <c r="K46" i="21"/>
  <c r="L46" i="21"/>
  <c r="M46" i="21"/>
  <c r="N46" i="21"/>
  <c r="O46" i="21"/>
  <c r="P46" i="21"/>
  <c r="Q46" i="21"/>
  <c r="R46" i="21"/>
  <c r="S46" i="21"/>
  <c r="D46" i="21"/>
  <c r="E46" i="20"/>
  <c r="F46" i="20"/>
  <c r="G46" i="20"/>
  <c r="H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D46" i="20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AA46" i="19"/>
  <c r="AB46" i="19"/>
  <c r="AC46" i="19"/>
  <c r="D46" i="19"/>
  <c r="D46" i="18"/>
  <c r="E46" i="18"/>
  <c r="F46" i="18"/>
  <c r="G46" i="18"/>
  <c r="H46" i="18"/>
  <c r="I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H46" i="17"/>
  <c r="I46" i="17"/>
  <c r="J46" i="17"/>
  <c r="F46" i="17"/>
  <c r="G46" i="17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D46" i="16"/>
  <c r="Q13" i="14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D46" i="15"/>
  <c r="Q46" i="14"/>
  <c r="J46" i="14"/>
  <c r="K46" i="14"/>
  <c r="L46" i="14"/>
  <c r="M46" i="14"/>
  <c r="N46" i="14"/>
  <c r="O46" i="14"/>
  <c r="P46" i="14"/>
  <c r="R46" i="14"/>
  <c r="S46" i="14"/>
  <c r="U46" i="14"/>
  <c r="Y46" i="14"/>
  <c r="D46" i="14"/>
  <c r="E46" i="14"/>
  <c r="F46" i="14"/>
  <c r="G46" i="14"/>
  <c r="H46" i="14"/>
  <c r="I46" i="14"/>
  <c r="E46" i="13"/>
  <c r="F46" i="13"/>
  <c r="G46" i="13"/>
  <c r="H46" i="13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D46" i="12"/>
  <c r="E46" i="11"/>
  <c r="N46" i="11"/>
  <c r="O46" i="11"/>
  <c r="D46" i="11"/>
  <c r="D46" i="10"/>
  <c r="E46" i="10"/>
  <c r="F46" i="10"/>
  <c r="E46" i="9"/>
  <c r="F46" i="9"/>
  <c r="G46" i="9"/>
  <c r="H46" i="9"/>
  <c r="I46" i="9"/>
  <c r="J46" i="9"/>
  <c r="K46" i="9"/>
  <c r="D46" i="9"/>
  <c r="D46" i="8"/>
  <c r="E46" i="8"/>
  <c r="F46" i="8"/>
  <c r="G46" i="8"/>
  <c r="H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I46" i="8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D46" i="7"/>
  <c r="U46" i="5"/>
  <c r="V46" i="5"/>
  <c r="W46" i="5"/>
  <c r="X46" i="5"/>
  <c r="Y46" i="5"/>
  <c r="Z46" i="5"/>
  <c r="AA46" i="5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D46" i="4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Q46" i="2"/>
  <c r="R46" i="2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D46" i="1"/>
  <c r="V41" i="39"/>
  <c r="W41" i="39"/>
  <c r="X41" i="39"/>
  <c r="Y41" i="39"/>
  <c r="V42" i="39"/>
  <c r="W42" i="39"/>
  <c r="X42" i="39"/>
  <c r="Y42" i="39"/>
  <c r="V43" i="39"/>
  <c r="W43" i="39"/>
  <c r="X43" i="39"/>
  <c r="Y43" i="39"/>
  <c r="E41" i="40"/>
  <c r="F41" i="40"/>
  <c r="G41" i="40"/>
  <c r="N41" i="40"/>
  <c r="O41" i="40"/>
  <c r="P41" i="40"/>
  <c r="Q41" i="40"/>
  <c r="R41" i="40"/>
  <c r="S41" i="40"/>
  <c r="T41" i="40"/>
  <c r="U41" i="40"/>
  <c r="V41" i="40"/>
  <c r="W41" i="40"/>
  <c r="X41" i="40"/>
  <c r="Y41" i="40"/>
  <c r="Z41" i="40"/>
  <c r="AA41" i="40"/>
  <c r="AB41" i="40"/>
  <c r="AC41" i="40"/>
  <c r="E42" i="40"/>
  <c r="F42" i="40"/>
  <c r="G42" i="40"/>
  <c r="N42" i="40"/>
  <c r="O42" i="40"/>
  <c r="P42" i="40"/>
  <c r="Q42" i="40"/>
  <c r="R42" i="40"/>
  <c r="S42" i="40"/>
  <c r="T42" i="40"/>
  <c r="U42" i="40"/>
  <c r="V42" i="40"/>
  <c r="W42" i="40"/>
  <c r="X42" i="40"/>
  <c r="Y42" i="40"/>
  <c r="Z42" i="40"/>
  <c r="AA42" i="40"/>
  <c r="AB42" i="40"/>
  <c r="AC42" i="40"/>
  <c r="E43" i="40"/>
  <c r="F43" i="40"/>
  <c r="G43" i="40"/>
  <c r="J43" i="40"/>
  <c r="K43" i="40"/>
  <c r="N43" i="40"/>
  <c r="O43" i="40"/>
  <c r="P43" i="40"/>
  <c r="Q43" i="40"/>
  <c r="R43" i="40"/>
  <c r="S43" i="40"/>
  <c r="T43" i="40"/>
  <c r="U43" i="40"/>
  <c r="V43" i="40"/>
  <c r="W43" i="40"/>
  <c r="X43" i="40"/>
  <c r="Y43" i="40"/>
  <c r="Z43" i="40"/>
  <c r="AA43" i="40"/>
  <c r="AB43" i="40"/>
  <c r="AC43" i="40"/>
  <c r="D41" i="40"/>
  <c r="D41" i="38"/>
  <c r="E41" i="38"/>
  <c r="F41" i="38"/>
  <c r="G41" i="38"/>
  <c r="H41" i="38"/>
  <c r="I41" i="38"/>
  <c r="J41" i="38"/>
  <c r="K41" i="38"/>
  <c r="L41" i="38"/>
  <c r="M41" i="38"/>
  <c r="N41" i="38"/>
  <c r="O41" i="38"/>
  <c r="P41" i="38"/>
  <c r="Q41" i="38"/>
  <c r="R41" i="38"/>
  <c r="S41" i="38"/>
  <c r="T41" i="38"/>
  <c r="U41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P42" i="38"/>
  <c r="Q42" i="38"/>
  <c r="R42" i="38"/>
  <c r="S42" i="38"/>
  <c r="T42" i="38"/>
  <c r="U42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P43" i="38"/>
  <c r="Q43" i="38"/>
  <c r="R43" i="38"/>
  <c r="S43" i="38"/>
  <c r="T43" i="38"/>
  <c r="U43" i="38"/>
  <c r="W41" i="38"/>
  <c r="X41" i="38"/>
  <c r="Y41" i="38"/>
  <c r="Z41" i="38"/>
  <c r="AA41" i="38"/>
  <c r="AB41" i="38"/>
  <c r="AC41" i="38"/>
  <c r="AD41" i="38"/>
  <c r="AE41" i="38"/>
  <c r="AF41" i="38"/>
  <c r="AG41" i="38"/>
  <c r="AH41" i="38"/>
  <c r="AI41" i="38"/>
  <c r="AJ41" i="38"/>
  <c r="AK41" i="38"/>
  <c r="AL41" i="38"/>
  <c r="W42" i="38"/>
  <c r="X42" i="38"/>
  <c r="Y42" i="38"/>
  <c r="Z42" i="38"/>
  <c r="AA42" i="38"/>
  <c r="AB42" i="38"/>
  <c r="AC42" i="38"/>
  <c r="AD42" i="38"/>
  <c r="AE42" i="38"/>
  <c r="AF42" i="38"/>
  <c r="AG42" i="38"/>
  <c r="AH42" i="38"/>
  <c r="AI42" i="38"/>
  <c r="AJ42" i="38"/>
  <c r="AK42" i="38"/>
  <c r="AL42" i="38"/>
  <c r="W43" i="38"/>
  <c r="X43" i="38"/>
  <c r="Y43" i="38"/>
  <c r="Z43" i="38"/>
  <c r="AA43" i="38"/>
  <c r="AB43" i="38"/>
  <c r="AC43" i="38"/>
  <c r="AD43" i="38"/>
  <c r="AE43" i="38"/>
  <c r="AF43" i="38"/>
  <c r="AG43" i="38"/>
  <c r="AH43" i="38"/>
  <c r="AI43" i="38"/>
  <c r="AJ43" i="38"/>
  <c r="AK43" i="38"/>
  <c r="AL43" i="38"/>
  <c r="V41" i="38"/>
  <c r="D41" i="37"/>
  <c r="E41" i="37"/>
  <c r="D42" i="37"/>
  <c r="E42" i="37"/>
  <c r="D43" i="37"/>
  <c r="E43" i="37"/>
  <c r="I43" i="37"/>
  <c r="N41" i="37"/>
  <c r="O41" i="37"/>
  <c r="P41" i="37"/>
  <c r="Q41" i="37"/>
  <c r="R41" i="37"/>
  <c r="S41" i="37"/>
  <c r="T41" i="37"/>
  <c r="U41" i="37"/>
  <c r="V41" i="37"/>
  <c r="W41" i="37"/>
  <c r="X41" i="37"/>
  <c r="Y41" i="37"/>
  <c r="Z41" i="37"/>
  <c r="AA41" i="37"/>
  <c r="N42" i="37"/>
  <c r="O42" i="37"/>
  <c r="P42" i="37"/>
  <c r="Q42" i="37"/>
  <c r="R42" i="37"/>
  <c r="S42" i="37"/>
  <c r="T42" i="37"/>
  <c r="U42" i="37"/>
  <c r="V42" i="37"/>
  <c r="W42" i="37"/>
  <c r="X42" i="37"/>
  <c r="Y42" i="37"/>
  <c r="Z42" i="37"/>
  <c r="AA42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E41" i="34"/>
  <c r="F41" i="34"/>
  <c r="G41" i="34"/>
  <c r="H41" i="34"/>
  <c r="AC41" i="34"/>
  <c r="AD41" i="34"/>
  <c r="AE41" i="34"/>
  <c r="AF41" i="34"/>
  <c r="E42" i="34"/>
  <c r="F42" i="34"/>
  <c r="G42" i="34"/>
  <c r="H42" i="34"/>
  <c r="AC42" i="34"/>
  <c r="AD42" i="34"/>
  <c r="AE42" i="34"/>
  <c r="AF42" i="34"/>
  <c r="E43" i="34"/>
  <c r="F43" i="34"/>
  <c r="G43" i="34"/>
  <c r="H43" i="34"/>
  <c r="AC43" i="34"/>
  <c r="AD43" i="34"/>
  <c r="AE43" i="34"/>
  <c r="AF43" i="34"/>
  <c r="D41" i="34"/>
  <c r="W41" i="36"/>
  <c r="X41" i="36"/>
  <c r="Y41" i="36"/>
  <c r="W42" i="36"/>
  <c r="X42" i="36"/>
  <c r="Y42" i="36"/>
  <c r="W43" i="36"/>
  <c r="X43" i="36"/>
  <c r="Y43" i="36"/>
  <c r="E41" i="32"/>
  <c r="F41" i="32"/>
  <c r="G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Z41" i="32"/>
  <c r="AA41" i="32"/>
  <c r="AB41" i="32"/>
  <c r="AC41" i="32"/>
  <c r="AD41" i="32"/>
  <c r="E42" i="32"/>
  <c r="F42" i="32"/>
  <c r="G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Z42" i="32"/>
  <c r="AA42" i="32"/>
  <c r="AB42" i="32"/>
  <c r="AC42" i="32"/>
  <c r="AD42" i="32"/>
  <c r="E43" i="32"/>
  <c r="F43" i="32"/>
  <c r="G43" i="32"/>
  <c r="J43" i="32"/>
  <c r="K43" i="32"/>
  <c r="L43" i="32"/>
  <c r="M43" i="32"/>
  <c r="N43" i="32"/>
  <c r="O43" i="32"/>
  <c r="P43" i="32"/>
  <c r="Q43" i="32"/>
  <c r="R43" i="32"/>
  <c r="S43" i="32"/>
  <c r="T43" i="32"/>
  <c r="U43" i="32"/>
  <c r="V43" i="32"/>
  <c r="W43" i="32"/>
  <c r="X43" i="32"/>
  <c r="Y43" i="32"/>
  <c r="Z43" i="32"/>
  <c r="AA43" i="32"/>
  <c r="AB43" i="32"/>
  <c r="AC43" i="32"/>
  <c r="AD43" i="32"/>
  <c r="D41" i="32"/>
  <c r="E41" i="30"/>
  <c r="F41" i="30"/>
  <c r="G41" i="30"/>
  <c r="H41" i="30"/>
  <c r="O41" i="30"/>
  <c r="P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AD41" i="30"/>
  <c r="D41" i="30"/>
  <c r="E41" i="29"/>
  <c r="F41" i="29"/>
  <c r="G41" i="29"/>
  <c r="H41" i="29"/>
  <c r="I41" i="29"/>
  <c r="J41" i="29"/>
  <c r="K41" i="29"/>
  <c r="L41" i="29"/>
  <c r="M41" i="29"/>
  <c r="N41" i="29"/>
  <c r="O41" i="29"/>
  <c r="P41" i="29"/>
  <c r="Q41" i="29"/>
  <c r="D41" i="29"/>
  <c r="D41" i="27"/>
  <c r="E41" i="27"/>
  <c r="F41" i="27"/>
  <c r="G41" i="27"/>
  <c r="N41" i="27"/>
  <c r="O41" i="27"/>
  <c r="P41" i="27"/>
  <c r="Q41" i="27"/>
  <c r="R41" i="27"/>
  <c r="S41" i="27"/>
  <c r="T41" i="27"/>
  <c r="U41" i="27"/>
  <c r="V41" i="27"/>
  <c r="W41" i="27"/>
  <c r="X41" i="27"/>
  <c r="Y41" i="27"/>
  <c r="Z41" i="27"/>
  <c r="AA41" i="27"/>
  <c r="AB41" i="27"/>
  <c r="AC41" i="27"/>
  <c r="AD41" i="27"/>
  <c r="D41" i="26"/>
  <c r="E41" i="26"/>
  <c r="AA41" i="26"/>
  <c r="AB41" i="26"/>
  <c r="AC41" i="26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D41" i="25"/>
  <c r="E41" i="24"/>
  <c r="F41" i="24"/>
  <c r="G41" i="24"/>
  <c r="H41" i="24"/>
  <c r="I41" i="24"/>
  <c r="J41" i="24"/>
  <c r="K41" i="24"/>
  <c r="L41" i="24"/>
  <c r="M41" i="24"/>
  <c r="N41" i="24"/>
  <c r="O41" i="24"/>
  <c r="P41" i="24"/>
  <c r="D41" i="24"/>
  <c r="E41" i="23"/>
  <c r="F41" i="23"/>
  <c r="G41" i="23"/>
  <c r="J41" i="23"/>
  <c r="K41" i="23"/>
  <c r="AB41" i="23"/>
  <c r="AC41" i="23"/>
  <c r="AD41" i="23"/>
  <c r="D41" i="23"/>
  <c r="E41" i="21"/>
  <c r="F41" i="21"/>
  <c r="G41" i="21"/>
  <c r="H41" i="21"/>
  <c r="I41" i="21"/>
  <c r="J41" i="21"/>
  <c r="K41" i="21"/>
  <c r="L41" i="21"/>
  <c r="M41" i="21"/>
  <c r="N41" i="21"/>
  <c r="O41" i="21"/>
  <c r="P41" i="21"/>
  <c r="Q41" i="21"/>
  <c r="D41" i="21"/>
  <c r="D41" i="20"/>
  <c r="E41" i="20"/>
  <c r="F41" i="20"/>
  <c r="G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AA41" i="19"/>
  <c r="AB41" i="19"/>
  <c r="AC41" i="19"/>
  <c r="AD41" i="19"/>
  <c r="D41" i="19"/>
  <c r="D41" i="18"/>
  <c r="E41" i="18"/>
  <c r="F41" i="18"/>
  <c r="G41" i="18"/>
  <c r="O41" i="18"/>
  <c r="P41" i="18"/>
  <c r="Q41" i="18"/>
  <c r="R41" i="18"/>
  <c r="S41" i="18"/>
  <c r="T41" i="18"/>
  <c r="U41" i="18"/>
  <c r="Z41" i="18"/>
  <c r="AA41" i="18"/>
  <c r="AB41" i="18"/>
  <c r="AC41" i="18"/>
  <c r="I41" i="17"/>
  <c r="X41" i="17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D41" i="16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D41" i="15"/>
  <c r="E41" i="14"/>
  <c r="F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D41" i="14"/>
  <c r="E41" i="13"/>
  <c r="F41" i="13"/>
  <c r="G41" i="13"/>
  <c r="H41" i="13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D41" i="12"/>
  <c r="E41" i="11"/>
  <c r="F41" i="11"/>
  <c r="G41" i="11"/>
  <c r="H41" i="11"/>
  <c r="I41" i="11"/>
  <c r="J41" i="11"/>
  <c r="K41" i="11"/>
  <c r="L41" i="11"/>
  <c r="M41" i="11"/>
  <c r="N41" i="11"/>
  <c r="O41" i="11"/>
  <c r="P41" i="11"/>
  <c r="D41" i="11"/>
  <c r="D41" i="10"/>
  <c r="E41" i="9"/>
  <c r="F41" i="9"/>
  <c r="G41" i="9"/>
  <c r="H41" i="9"/>
  <c r="I41" i="9"/>
  <c r="J41" i="9"/>
  <c r="K41" i="9"/>
  <c r="D41" i="9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D41" i="8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D41" i="7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D41" i="4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Q41" i="2"/>
  <c r="R41" i="2"/>
  <c r="S41" i="2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D41" i="1"/>
  <c r="J39" i="8"/>
  <c r="K39" i="8"/>
  <c r="J35" i="8"/>
  <c r="K35" i="8"/>
  <c r="J20" i="14" l="1"/>
  <c r="J41" i="14" s="1"/>
  <c r="I20" i="14"/>
  <c r="X15" i="14"/>
  <c r="W15" i="14"/>
  <c r="X46" i="14"/>
  <c r="W46" i="14"/>
  <c r="V15" i="14"/>
  <c r="U15" i="14"/>
  <c r="U9" i="14"/>
  <c r="U7" i="14"/>
  <c r="U6" i="14"/>
  <c r="V46" i="14"/>
  <c r="T15" i="14"/>
  <c r="S15" i="14"/>
  <c r="S9" i="14"/>
  <c r="T9" i="14"/>
  <c r="T7" i="14"/>
  <c r="S7" i="14"/>
  <c r="T6" i="14"/>
  <c r="S6" i="14"/>
  <c r="T46" i="14"/>
  <c r="R15" i="14"/>
  <c r="Q15" i="14"/>
  <c r="Q9" i="14"/>
  <c r="R9" i="14"/>
  <c r="R7" i="14"/>
  <c r="Q7" i="14"/>
  <c r="R6" i="14"/>
  <c r="Q6" i="14"/>
  <c r="O9" i="14"/>
  <c r="P9" i="14"/>
  <c r="P15" i="14"/>
  <c r="O15" i="14"/>
  <c r="P7" i="14"/>
  <c r="O7" i="14"/>
  <c r="N15" i="14"/>
  <c r="M15" i="14"/>
  <c r="N7" i="14"/>
  <c r="M7" i="14"/>
  <c r="M9" i="14"/>
  <c r="N9" i="14"/>
  <c r="L9" i="14"/>
  <c r="K9" i="14"/>
  <c r="L7" i="14"/>
  <c r="K7" i="14"/>
  <c r="L15" i="14"/>
  <c r="K15" i="14"/>
  <c r="L18" i="14"/>
  <c r="K18" i="14"/>
  <c r="J22" i="14"/>
  <c r="I19" i="14"/>
  <c r="J15" i="14"/>
  <c r="I15" i="14"/>
  <c r="J7" i="14"/>
  <c r="I7" i="14"/>
  <c r="J14" i="14"/>
  <c r="I14" i="14"/>
  <c r="H22" i="14"/>
  <c r="G22" i="14"/>
  <c r="H20" i="14"/>
  <c r="G20" i="14"/>
  <c r="H19" i="14"/>
  <c r="G19" i="14"/>
  <c r="G23" i="14"/>
  <c r="G18" i="14"/>
  <c r="H15" i="14"/>
  <c r="G15" i="14"/>
  <c r="H14" i="14"/>
  <c r="G14" i="14"/>
  <c r="H11" i="14"/>
  <c r="G12" i="14"/>
  <c r="H10" i="14"/>
  <c r="G10" i="14"/>
  <c r="H9" i="14"/>
  <c r="G9" i="14"/>
  <c r="G8" i="14"/>
  <c r="G7" i="14" s="1"/>
  <c r="G6" i="14"/>
  <c r="L20" i="18"/>
  <c r="I20" i="18"/>
  <c r="G41" i="14" l="1"/>
  <c r="H41" i="14"/>
  <c r="I41" i="14"/>
  <c r="H20" i="18"/>
  <c r="H18" i="18"/>
  <c r="K20" i="18"/>
  <c r="J20" i="18"/>
  <c r="V20" i="18"/>
  <c r="V41" i="18" s="1"/>
  <c r="W20" i="18"/>
  <c r="W41" i="18" s="1"/>
  <c r="X20" i="18"/>
  <c r="Y20" i="18"/>
  <c r="Y41" i="18" s="1"/>
  <c r="M20" i="18"/>
  <c r="M41" i="18" s="1"/>
  <c r="N20" i="18"/>
  <c r="N41" i="18" s="1"/>
  <c r="Q15" i="18"/>
  <c r="P15" i="18"/>
  <c r="O15" i="18"/>
  <c r="N15" i="18"/>
  <c r="M15" i="18"/>
  <c r="N22" i="18"/>
  <c r="Z15" i="27"/>
  <c r="AA5" i="27"/>
  <c r="Z5" i="27"/>
  <c r="Z13" i="27" s="1"/>
  <c r="Z46" i="27" s="1"/>
  <c r="AA7" i="27"/>
  <c r="Z7" i="27"/>
  <c r="Y7" i="27"/>
  <c r="X7" i="27"/>
  <c r="Y15" i="27"/>
  <c r="X15" i="27"/>
  <c r="Y5" i="27"/>
  <c r="X5" i="27"/>
  <c r="X13" i="27" s="1"/>
  <c r="X46" i="27" s="1"/>
  <c r="O22" i="27"/>
  <c r="N22" i="27"/>
  <c r="Q22" i="27"/>
  <c r="P22" i="27"/>
  <c r="S22" i="27"/>
  <c r="R22" i="27"/>
  <c r="W22" i="27"/>
  <c r="V22" i="27"/>
  <c r="T22" i="27"/>
  <c r="U22" i="27"/>
  <c r="V5" i="27"/>
  <c r="V13" i="27" s="1"/>
  <c r="V46" i="27" s="1"/>
  <c r="W5" i="27"/>
  <c r="W13" i="27" s="1"/>
  <c r="W46" i="27" s="1"/>
  <c r="U15" i="27"/>
  <c r="T15" i="27"/>
  <c r="T5" i="27"/>
  <c r="T13" i="27" s="1"/>
  <c r="T46" i="27" s="1"/>
  <c r="U5" i="27"/>
  <c r="U13" i="27" s="1"/>
  <c r="U46" i="27" s="1"/>
  <c r="U7" i="27"/>
  <c r="T7" i="27"/>
  <c r="S5" i="27"/>
  <c r="S13" i="27" s="1"/>
  <c r="S46" i="27" s="1"/>
  <c r="R5" i="27"/>
  <c r="R13" i="27" s="1"/>
  <c r="R46" i="27" s="1"/>
  <c r="S15" i="27"/>
  <c r="R15" i="27"/>
  <c r="S18" i="27"/>
  <c r="R18" i="27"/>
  <c r="S7" i="27"/>
  <c r="R7" i="27"/>
  <c r="Q5" i="27"/>
  <c r="Q13" i="27" s="1"/>
  <c r="Q46" i="27" s="1"/>
  <c r="P5" i="27"/>
  <c r="P13" i="27" s="1"/>
  <c r="P46" i="27" s="1"/>
  <c r="Q7" i="27"/>
  <c r="P7" i="27"/>
  <c r="Q15" i="27"/>
  <c r="P15" i="27"/>
  <c r="O15" i="27"/>
  <c r="N15" i="27"/>
  <c r="O7" i="27"/>
  <c r="N7" i="27"/>
  <c r="O5" i="27"/>
  <c r="O13" i="27" s="1"/>
  <c r="O46" i="27" s="1"/>
  <c r="N5" i="27"/>
  <c r="N13" i="27" s="1"/>
  <c r="N46" i="27" s="1"/>
  <c r="M20" i="27"/>
  <c r="M41" i="27" s="1"/>
  <c r="L20" i="27"/>
  <c r="L41" i="27" s="1"/>
  <c r="M22" i="27"/>
  <c r="L22" i="27"/>
  <c r="M15" i="27"/>
  <c r="L15" i="27"/>
  <c r="M7" i="27"/>
  <c r="L7" i="27"/>
  <c r="M13" i="27"/>
  <c r="M46" i="27" s="1"/>
  <c r="L13" i="27"/>
  <c r="L46" i="27" s="1"/>
  <c r="K15" i="27"/>
  <c r="J15" i="27"/>
  <c r="K22" i="27"/>
  <c r="K20" i="27"/>
  <c r="K41" i="27" s="1"/>
  <c r="J20" i="27"/>
  <c r="J41" i="27" s="1"/>
  <c r="K7" i="27"/>
  <c r="J7" i="27"/>
  <c r="J13" i="27"/>
  <c r="J46" i="27" s="1"/>
  <c r="K13" i="27"/>
  <c r="K46" i="27" s="1"/>
  <c r="I13" i="27"/>
  <c r="I46" i="27" s="1"/>
  <c r="H13" i="27"/>
  <c r="H46" i="27" s="1"/>
  <c r="I20" i="27"/>
  <c r="I41" i="27" s="1"/>
  <c r="H20" i="27"/>
  <c r="H41" i="27" s="1"/>
  <c r="I15" i="27"/>
  <c r="H15" i="27"/>
  <c r="I7" i="27"/>
  <c r="H7" i="27"/>
  <c r="K7" i="26"/>
  <c r="Y15" i="30"/>
  <c r="X15" i="30"/>
  <c r="W15" i="30"/>
  <c r="X7" i="30"/>
  <c r="W7" i="30"/>
  <c r="V7" i="30"/>
  <c r="U7" i="30"/>
  <c r="V15" i="30"/>
  <c r="U15" i="30"/>
  <c r="T18" i="30"/>
  <c r="S18" i="30"/>
  <c r="T15" i="30"/>
  <c r="S15" i="30"/>
  <c r="T7" i="30"/>
  <c r="S7" i="30"/>
  <c r="R18" i="30"/>
  <c r="Q19" i="30"/>
  <c r="Q41" i="30" s="1"/>
  <c r="R7" i="30"/>
  <c r="Q7" i="30"/>
  <c r="R15" i="30"/>
  <c r="Q15" i="30"/>
  <c r="P18" i="30"/>
  <c r="O18" i="30"/>
  <c r="P15" i="30"/>
  <c r="O15" i="30"/>
  <c r="P7" i="30"/>
  <c r="O7" i="30"/>
  <c r="N15" i="30"/>
  <c r="M15" i="30"/>
  <c r="N20" i="30"/>
  <c r="N41" i="30" s="1"/>
  <c r="M20" i="30"/>
  <c r="M41" i="30" s="1"/>
  <c r="N22" i="30"/>
  <c r="M22" i="30"/>
  <c r="N7" i="30"/>
  <c r="M7" i="30"/>
  <c r="L20" i="30"/>
  <c r="L41" i="30" s="1"/>
  <c r="K20" i="30"/>
  <c r="K41" i="30" s="1"/>
  <c r="L15" i="30"/>
  <c r="K15" i="30"/>
  <c r="L7" i="30"/>
  <c r="K7" i="30"/>
  <c r="J20" i="30"/>
  <c r="I20" i="30"/>
  <c r="J22" i="30"/>
  <c r="I22" i="30"/>
  <c r="J21" i="30"/>
  <c r="I21" i="30"/>
  <c r="J19" i="30"/>
  <c r="I19" i="30"/>
  <c r="J18" i="30"/>
  <c r="I18" i="30"/>
  <c r="I15" i="30"/>
  <c r="J15" i="30"/>
  <c r="J16" i="30"/>
  <c r="I16" i="30"/>
  <c r="J23" i="30"/>
  <c r="I23" i="30"/>
  <c r="I14" i="30"/>
  <c r="J14" i="30"/>
  <c r="J11" i="30"/>
  <c r="I11" i="30"/>
  <c r="J12" i="30"/>
  <c r="I12" i="30"/>
  <c r="J10" i="30"/>
  <c r="I10" i="30"/>
  <c r="J9" i="30"/>
  <c r="I9" i="30"/>
  <c r="J8" i="30"/>
  <c r="J7" i="30" s="1"/>
  <c r="I8" i="30"/>
  <c r="I7" i="30" s="1"/>
  <c r="J6" i="30"/>
  <c r="I6" i="30"/>
  <c r="AB7" i="26"/>
  <c r="AA7" i="26"/>
  <c r="Z7" i="26"/>
  <c r="Y7" i="26"/>
  <c r="X7" i="26"/>
  <c r="W7" i="37"/>
  <c r="U7" i="37"/>
  <c r="T7" i="37"/>
  <c r="S7" i="37"/>
  <c r="R7" i="37"/>
  <c r="Q7" i="37"/>
  <c r="P7" i="37"/>
  <c r="L7" i="37"/>
  <c r="K7" i="37"/>
  <c r="J7" i="37"/>
  <c r="I7" i="37"/>
  <c r="H7" i="37"/>
  <c r="W7" i="40"/>
  <c r="V7" i="40"/>
  <c r="T7" i="40"/>
  <c r="S7" i="40"/>
  <c r="R7" i="40"/>
  <c r="P7" i="40"/>
  <c r="O7" i="40"/>
  <c r="N7" i="40"/>
  <c r="M7" i="40"/>
  <c r="K7" i="40"/>
  <c r="Q7" i="40"/>
  <c r="Q18" i="30" l="1"/>
  <c r="J41" i="30"/>
  <c r="K32" i="26"/>
  <c r="K28" i="26"/>
  <c r="X28" i="26"/>
  <c r="X32" i="26"/>
  <c r="X44" i="26"/>
  <c r="X31" i="26"/>
  <c r="I41" i="30"/>
  <c r="AA7" i="40"/>
  <c r="Z7" i="40"/>
  <c r="Y7" i="40"/>
  <c r="X7" i="40"/>
  <c r="T15" i="40"/>
  <c r="U7" i="40"/>
  <c r="S15" i="40"/>
  <c r="R15" i="40"/>
  <c r="Q15" i="40"/>
  <c r="P15" i="40"/>
  <c r="O15" i="40"/>
  <c r="N15" i="40"/>
  <c r="S37" i="17"/>
  <c r="R23" i="17"/>
  <c r="R37" i="17" s="1"/>
  <c r="R18" i="17"/>
  <c r="Q23" i="17"/>
  <c r="Q37" i="17" s="1"/>
  <c r="I16" i="17"/>
  <c r="J12" i="17"/>
  <c r="I12" i="17"/>
  <c r="I11" i="17"/>
  <c r="I10" i="17"/>
  <c r="J8" i="17"/>
  <c r="J7" i="17" s="1"/>
  <c r="I8" i="17"/>
  <c r="I7" i="17" s="1"/>
  <c r="I6" i="17"/>
  <c r="G22" i="17"/>
  <c r="F22" i="17"/>
  <c r="G21" i="17"/>
  <c r="F21" i="17"/>
  <c r="G20" i="17"/>
  <c r="G41" i="17" s="1"/>
  <c r="F20" i="17"/>
  <c r="F41" i="17" s="1"/>
  <c r="G15" i="17"/>
  <c r="F15" i="17"/>
  <c r="G7" i="17"/>
  <c r="F7" i="17"/>
  <c r="E22" i="17"/>
  <c r="D22" i="17"/>
  <c r="E21" i="17"/>
  <c r="D21" i="17"/>
  <c r="E20" i="17"/>
  <c r="D20" i="17"/>
  <c r="E19" i="17"/>
  <c r="D19" i="17"/>
  <c r="E15" i="17"/>
  <c r="D15" i="17"/>
  <c r="E18" i="17"/>
  <c r="D18" i="17"/>
  <c r="E16" i="17"/>
  <c r="D16" i="17"/>
  <c r="E23" i="17"/>
  <c r="D23" i="17"/>
  <c r="E12" i="17"/>
  <c r="D12" i="17"/>
  <c r="E11" i="17"/>
  <c r="D11" i="17"/>
  <c r="E10" i="17"/>
  <c r="D10" i="17"/>
  <c r="E9" i="17"/>
  <c r="D9" i="17"/>
  <c r="E8" i="17"/>
  <c r="E7" i="17" s="1"/>
  <c r="D8" i="17"/>
  <c r="D7" i="17" s="1"/>
  <c r="E6" i="17"/>
  <c r="D6" i="17"/>
  <c r="E13" i="17"/>
  <c r="E46" i="17" s="1"/>
  <c r="D13" i="17"/>
  <c r="D46" i="17" s="1"/>
  <c r="E14" i="17"/>
  <c r="D14" i="17"/>
  <c r="H20" i="17"/>
  <c r="I15" i="17"/>
  <c r="I18" i="17"/>
  <c r="H8" i="17"/>
  <c r="H7" i="17" s="1"/>
  <c r="L22" i="40"/>
  <c r="M15" i="40"/>
  <c r="L15" i="40"/>
  <c r="M19" i="40"/>
  <c r="L20" i="40"/>
  <c r="L7" i="40"/>
  <c r="L6" i="40"/>
  <c r="L13" i="40"/>
  <c r="L46" i="40" s="1"/>
  <c r="J22" i="40"/>
  <c r="K20" i="40"/>
  <c r="J20" i="40"/>
  <c r="K15" i="40"/>
  <c r="J15" i="40"/>
  <c r="K13" i="40"/>
  <c r="K46" i="40" s="1"/>
  <c r="J7" i="40"/>
  <c r="I20" i="40"/>
  <c r="H20" i="40"/>
  <c r="I23" i="40"/>
  <c r="H23" i="40"/>
  <c r="I22" i="40"/>
  <c r="H22" i="40"/>
  <c r="I21" i="40"/>
  <c r="H21" i="40"/>
  <c r="I19" i="40"/>
  <c r="I18" i="40" s="1"/>
  <c r="H19" i="40"/>
  <c r="H18" i="40" s="1"/>
  <c r="H16" i="40"/>
  <c r="H15" i="40"/>
  <c r="I15" i="40"/>
  <c r="I11" i="40"/>
  <c r="H11" i="40"/>
  <c r="I9" i="40"/>
  <c r="H9" i="40"/>
  <c r="I12" i="40"/>
  <c r="H12" i="40"/>
  <c r="I10" i="40"/>
  <c r="H10" i="40"/>
  <c r="I8" i="40"/>
  <c r="I7" i="40" s="1"/>
  <c r="H8" i="40"/>
  <c r="H7" i="40" s="1"/>
  <c r="I6" i="40"/>
  <c r="H6" i="40"/>
  <c r="I14" i="40"/>
  <c r="H14" i="40"/>
  <c r="X15" i="37"/>
  <c r="W15" i="37"/>
  <c r="V15" i="37"/>
  <c r="V7" i="37"/>
  <c r="U15" i="37"/>
  <c r="T15" i="37"/>
  <c r="T9" i="37"/>
  <c r="U9" i="37"/>
  <c r="S15" i="37"/>
  <c r="R15" i="37"/>
  <c r="Q15" i="37"/>
  <c r="P15" i="37"/>
  <c r="R9" i="37"/>
  <c r="S9" i="37"/>
  <c r="P9" i="37"/>
  <c r="Q9" i="37"/>
  <c r="O9" i="37"/>
  <c r="N9" i="37"/>
  <c r="O7" i="37"/>
  <c r="N7" i="37"/>
  <c r="O15" i="37"/>
  <c r="N15" i="37"/>
  <c r="M20" i="37"/>
  <c r="L20" i="37"/>
  <c r="M18" i="37"/>
  <c r="L18" i="37"/>
  <c r="M15" i="37"/>
  <c r="L15" i="37"/>
  <c r="M7" i="37"/>
  <c r="K22" i="37"/>
  <c r="J22" i="37"/>
  <c r="K20" i="37"/>
  <c r="J20" i="37"/>
  <c r="K18" i="37"/>
  <c r="J18" i="37"/>
  <c r="K15" i="37"/>
  <c r="J15" i="37"/>
  <c r="I20" i="37"/>
  <c r="H20" i="37"/>
  <c r="I18" i="37"/>
  <c r="H19" i="37"/>
  <c r="H43" i="37" s="1"/>
  <c r="I15" i="37"/>
  <c r="H15" i="37"/>
  <c r="G18" i="37"/>
  <c r="F18" i="37"/>
  <c r="G19" i="37"/>
  <c r="F19" i="37"/>
  <c r="G15" i="37"/>
  <c r="F15" i="37"/>
  <c r="G22" i="37"/>
  <c r="F22" i="37"/>
  <c r="L12" i="34"/>
  <c r="K12" i="34"/>
  <c r="L7" i="34"/>
  <c r="K7" i="34"/>
  <c r="L8" i="34"/>
  <c r="K8" i="34"/>
  <c r="L6" i="34"/>
  <c r="L27" i="34" s="1"/>
  <c r="K6" i="34"/>
  <c r="K27" i="34" s="1"/>
  <c r="K9" i="34"/>
  <c r="J12" i="34"/>
  <c r="I12" i="34"/>
  <c r="G20" i="37"/>
  <c r="F20" i="37"/>
  <c r="G23" i="37"/>
  <c r="F23" i="37"/>
  <c r="G9" i="37"/>
  <c r="F9" i="37"/>
  <c r="G10" i="37"/>
  <c r="F10" i="37"/>
  <c r="G12" i="37"/>
  <c r="F12" i="37"/>
  <c r="G6" i="37"/>
  <c r="F6" i="37"/>
  <c r="G8" i="37"/>
  <c r="G7" i="37" s="1"/>
  <c r="F8" i="37"/>
  <c r="F7" i="37" s="1"/>
  <c r="G14" i="37"/>
  <c r="F14" i="37"/>
  <c r="H43" i="40" l="1"/>
  <c r="R45" i="17"/>
  <c r="S45" i="17"/>
  <c r="F43" i="37"/>
  <c r="H42" i="40"/>
  <c r="H41" i="40"/>
  <c r="K32" i="34"/>
  <c r="K28" i="34"/>
  <c r="K42" i="40"/>
  <c r="K41" i="40"/>
  <c r="I41" i="40"/>
  <c r="I42" i="40"/>
  <c r="J36" i="34"/>
  <c r="J41" i="37"/>
  <c r="J42" i="37"/>
  <c r="L41" i="37"/>
  <c r="L42" i="37"/>
  <c r="D41" i="17"/>
  <c r="G43" i="37"/>
  <c r="L35" i="34"/>
  <c r="L36" i="34"/>
  <c r="H42" i="37"/>
  <c r="H41" i="37"/>
  <c r="M41" i="37"/>
  <c r="M42" i="37"/>
  <c r="E41" i="17"/>
  <c r="I36" i="34"/>
  <c r="K35" i="34"/>
  <c r="K36" i="34"/>
  <c r="I42" i="37"/>
  <c r="I41" i="37"/>
  <c r="I43" i="40"/>
  <c r="G42" i="37"/>
  <c r="G41" i="37"/>
  <c r="H18" i="37"/>
  <c r="L19" i="40"/>
  <c r="L43" i="40" s="1"/>
  <c r="L32" i="34"/>
  <c r="L28" i="34"/>
  <c r="K41" i="37"/>
  <c r="K42" i="37"/>
  <c r="K33" i="34"/>
  <c r="F41" i="37"/>
  <c r="F42" i="37"/>
  <c r="L33" i="34"/>
  <c r="J42" i="40"/>
  <c r="J41" i="40"/>
  <c r="M41" i="40"/>
  <c r="M43" i="40"/>
  <c r="M42" i="40"/>
  <c r="X43" i="26"/>
  <c r="Y41" i="26"/>
  <c r="Y9" i="26"/>
  <c r="X9" i="26"/>
  <c r="Y13" i="26"/>
  <c r="Y46" i="26" s="1"/>
  <c r="X13" i="26"/>
  <c r="X46" i="26" s="1"/>
  <c r="W13" i="26"/>
  <c r="W46" i="26" s="1"/>
  <c r="V15" i="26"/>
  <c r="V29" i="26" s="1"/>
  <c r="U15" i="26"/>
  <c r="U29" i="26" s="1"/>
  <c r="V13" i="26"/>
  <c r="V46" i="26" s="1"/>
  <c r="U13" i="26"/>
  <c r="U46" i="26" s="1"/>
  <c r="L41" i="40" l="1"/>
  <c r="Z41" i="26"/>
  <c r="L42" i="40"/>
  <c r="X42" i="26"/>
  <c r="X40" i="26"/>
  <c r="X41" i="26"/>
  <c r="U44" i="26"/>
  <c r="U30" i="26"/>
  <c r="U31" i="26" s="1"/>
  <c r="V30" i="26"/>
  <c r="V31" i="26" s="1"/>
  <c r="V44" i="26"/>
  <c r="T15" i="26"/>
  <c r="T29" i="26" s="1"/>
  <c r="S15" i="26"/>
  <c r="S29" i="26" s="1"/>
  <c r="T13" i="26"/>
  <c r="T46" i="26" s="1"/>
  <c r="S13" i="26"/>
  <c r="S46" i="26" s="1"/>
  <c r="R15" i="26"/>
  <c r="R29" i="26" s="1"/>
  <c r="Q15" i="26"/>
  <c r="Q29" i="26" s="1"/>
  <c r="Q9" i="26"/>
  <c r="R9" i="26"/>
  <c r="R13" i="26"/>
  <c r="R46" i="26" s="1"/>
  <c r="Q13" i="26"/>
  <c r="Q46" i="26" s="1"/>
  <c r="P9" i="26"/>
  <c r="O9" i="26"/>
  <c r="P15" i="26"/>
  <c r="P29" i="26" s="1"/>
  <c r="O15" i="26"/>
  <c r="O29" i="26" s="1"/>
  <c r="P13" i="26"/>
  <c r="P46" i="26" s="1"/>
  <c r="O13" i="26"/>
  <c r="O46" i="26" s="1"/>
  <c r="T30" i="26" l="1"/>
  <c r="T31" i="26" s="1"/>
  <c r="T44" i="26"/>
  <c r="R30" i="26"/>
  <c r="R31" i="26" s="1"/>
  <c r="R44" i="26"/>
  <c r="O30" i="26"/>
  <c r="O31" i="26" s="1"/>
  <c r="O44" i="26"/>
  <c r="Q44" i="26"/>
  <c r="Q30" i="26"/>
  <c r="Q31" i="26" s="1"/>
  <c r="P44" i="26"/>
  <c r="P30" i="26"/>
  <c r="P31" i="26" s="1"/>
  <c r="S30" i="26"/>
  <c r="S31" i="26" s="1"/>
  <c r="S44" i="26"/>
  <c r="N20" i="26"/>
  <c r="M20" i="26"/>
  <c r="N7" i="26"/>
  <c r="M7" i="26"/>
  <c r="N13" i="26"/>
  <c r="N46" i="26" s="1"/>
  <c r="M13" i="26"/>
  <c r="M46" i="26" s="1"/>
  <c r="I13" i="26"/>
  <c r="I46" i="26" s="1"/>
  <c r="J13" i="26"/>
  <c r="J46" i="26" s="1"/>
  <c r="L13" i="26"/>
  <c r="L46" i="26" s="1"/>
  <c r="L20" i="26"/>
  <c r="K20" i="26"/>
  <c r="K15" i="26"/>
  <c r="K29" i="26" s="1"/>
  <c r="I23" i="26"/>
  <c r="I37" i="26" s="1"/>
  <c r="J23" i="26"/>
  <c r="J37" i="26" s="1"/>
  <c r="I22" i="26"/>
  <c r="J22" i="26"/>
  <c r="I21" i="26"/>
  <c r="J21" i="26"/>
  <c r="I20" i="26"/>
  <c r="J20" i="26"/>
  <c r="I19" i="26"/>
  <c r="I43" i="26" s="1"/>
  <c r="J19" i="26"/>
  <c r="I18" i="26"/>
  <c r="I45" i="26" s="1"/>
  <c r="J18" i="26"/>
  <c r="J45" i="26" s="1"/>
  <c r="I15" i="26"/>
  <c r="I29" i="26" s="1"/>
  <c r="J15" i="26"/>
  <c r="J14" i="26"/>
  <c r="J12" i="26"/>
  <c r="I12" i="26"/>
  <c r="I11" i="26"/>
  <c r="J11" i="26"/>
  <c r="J10" i="26"/>
  <c r="I10" i="26"/>
  <c r="J9" i="26"/>
  <c r="I9" i="26"/>
  <c r="I8" i="26"/>
  <c r="I7" i="26" s="1"/>
  <c r="I6" i="26"/>
  <c r="I27" i="26" s="1"/>
  <c r="J6" i="26"/>
  <c r="J27" i="26" s="1"/>
  <c r="J8" i="26"/>
  <c r="J7" i="26" s="1"/>
  <c r="L7" i="26"/>
  <c r="L14" i="26"/>
  <c r="AA15" i="32"/>
  <c r="Z15" i="32"/>
  <c r="AA6" i="32"/>
  <c r="Z6" i="32"/>
  <c r="AA46" i="32"/>
  <c r="Z46" i="32"/>
  <c r="Y15" i="32"/>
  <c r="X15" i="32"/>
  <c r="Y7" i="32"/>
  <c r="X7" i="32"/>
  <c r="Y6" i="32"/>
  <c r="X6" i="32"/>
  <c r="Y13" i="32"/>
  <c r="Y46" i="32" s="1"/>
  <c r="X13" i="32"/>
  <c r="X46" i="32" s="1"/>
  <c r="W15" i="32"/>
  <c r="V15" i="32"/>
  <c r="W7" i="32"/>
  <c r="V7" i="32"/>
  <c r="W6" i="32"/>
  <c r="V6" i="32"/>
  <c r="W13" i="32"/>
  <c r="W46" i="32" s="1"/>
  <c r="V13" i="32"/>
  <c r="V46" i="32" s="1"/>
  <c r="U15" i="32"/>
  <c r="T15" i="32"/>
  <c r="U7" i="32"/>
  <c r="T7" i="32"/>
  <c r="U6" i="32"/>
  <c r="T6" i="32"/>
  <c r="U13" i="32"/>
  <c r="U46" i="32" s="1"/>
  <c r="T13" i="32"/>
  <c r="T46" i="32" s="1"/>
  <c r="S15" i="32"/>
  <c r="R15" i="32"/>
  <c r="Q15" i="32"/>
  <c r="Q29" i="32" s="1"/>
  <c r="P15" i="32"/>
  <c r="S7" i="32"/>
  <c r="R7" i="32"/>
  <c r="S6" i="32"/>
  <c r="R6" i="32"/>
  <c r="S13" i="32"/>
  <c r="S46" i="32" s="1"/>
  <c r="R13" i="32"/>
  <c r="R46" i="32" s="1"/>
  <c r="Q7" i="32"/>
  <c r="P7" i="32"/>
  <c r="P13" i="32"/>
  <c r="P46" i="32" s="1"/>
  <c r="Q13" i="32"/>
  <c r="Q46" i="32" s="1"/>
  <c r="O7" i="32"/>
  <c r="N7" i="32"/>
  <c r="O6" i="32"/>
  <c r="N6" i="32"/>
  <c r="N13" i="32"/>
  <c r="N46" i="32" s="1"/>
  <c r="O13" i="32"/>
  <c r="O46" i="32" s="1"/>
  <c r="M22" i="32"/>
  <c r="L22" i="32"/>
  <c r="M20" i="32"/>
  <c r="L20" i="32"/>
  <c r="M18" i="32"/>
  <c r="L18" i="32"/>
  <c r="M15" i="32"/>
  <c r="L15" i="32"/>
  <c r="M7" i="32"/>
  <c r="L7" i="32"/>
  <c r="M13" i="32"/>
  <c r="M46" i="32" s="1"/>
  <c r="L13" i="32"/>
  <c r="L46" i="32" s="1"/>
  <c r="K22" i="32"/>
  <c r="J22" i="32"/>
  <c r="K20" i="32"/>
  <c r="J20" i="32"/>
  <c r="K18" i="32"/>
  <c r="J18" i="32"/>
  <c r="K15" i="32"/>
  <c r="J15" i="32"/>
  <c r="K7" i="32"/>
  <c r="J7" i="32"/>
  <c r="K13" i="32"/>
  <c r="K46" i="32" s="1"/>
  <c r="J13" i="32"/>
  <c r="J46" i="32" s="1"/>
  <c r="I22" i="32"/>
  <c r="H22" i="32"/>
  <c r="I19" i="32"/>
  <c r="I18" i="32" s="1"/>
  <c r="H19" i="32"/>
  <c r="H18" i="32" s="1"/>
  <c r="I15" i="32"/>
  <c r="H15" i="32"/>
  <c r="I23" i="32"/>
  <c r="H23" i="32"/>
  <c r="I16" i="32"/>
  <c r="H16" i="32"/>
  <c r="I21" i="32"/>
  <c r="I20" i="32" s="1"/>
  <c r="H21" i="32"/>
  <c r="H20" i="32" s="1"/>
  <c r="I6" i="32"/>
  <c r="H6" i="32"/>
  <c r="I11" i="32"/>
  <c r="H11" i="32"/>
  <c r="I10" i="32"/>
  <c r="H10" i="32"/>
  <c r="I9" i="32"/>
  <c r="H9" i="32"/>
  <c r="I8" i="32"/>
  <c r="I7" i="32" s="1"/>
  <c r="H8" i="32"/>
  <c r="H7" i="32" s="1"/>
  <c r="I12" i="32"/>
  <c r="H12" i="32"/>
  <c r="I13" i="32"/>
  <c r="I46" i="32" s="1"/>
  <c r="H13" i="32"/>
  <c r="H46" i="32" s="1"/>
  <c r="H14" i="32"/>
  <c r="I14" i="32"/>
  <c r="J43" i="26" l="1"/>
  <c r="I43" i="32"/>
  <c r="H43" i="32"/>
  <c r="J29" i="26"/>
  <c r="J44" i="26" s="1"/>
  <c r="J32" i="26"/>
  <c r="J28" i="26"/>
  <c r="L42" i="32"/>
  <c r="L41" i="32"/>
  <c r="L43" i="26"/>
  <c r="L29" i="26"/>
  <c r="I41" i="26"/>
  <c r="I40" i="26"/>
  <c r="I42" i="26"/>
  <c r="K41" i="26"/>
  <c r="K42" i="26"/>
  <c r="K40" i="26"/>
  <c r="M32" i="26"/>
  <c r="M44" i="26"/>
  <c r="M28" i="26"/>
  <c r="M31" i="26"/>
  <c r="N42" i="26"/>
  <c r="N40" i="26"/>
  <c r="N41" i="26"/>
  <c r="J38" i="26"/>
  <c r="J33" i="26"/>
  <c r="M40" i="26"/>
  <c r="M41" i="26"/>
  <c r="M42" i="26"/>
  <c r="J34" i="26"/>
  <c r="K13" i="26"/>
  <c r="K46" i="26" s="1"/>
  <c r="L32" i="26"/>
  <c r="L28" i="26"/>
  <c r="L40" i="26"/>
  <c r="L41" i="26"/>
  <c r="L42" i="26"/>
  <c r="J41" i="32"/>
  <c r="J42" i="32"/>
  <c r="K42" i="32"/>
  <c r="K41" i="32"/>
  <c r="I34" i="26"/>
  <c r="J30" i="26"/>
  <c r="J31" i="26" s="1"/>
  <c r="H41" i="32"/>
  <c r="H42" i="32"/>
  <c r="I44" i="26"/>
  <c r="I30" i="26"/>
  <c r="I31" i="26" s="1"/>
  <c r="I41" i="32"/>
  <c r="I42" i="32"/>
  <c r="I28" i="26"/>
  <c r="I32" i="26"/>
  <c r="I36" i="26"/>
  <c r="I35" i="26"/>
  <c r="I39" i="26"/>
  <c r="M42" i="32"/>
  <c r="M41" i="32"/>
  <c r="N28" i="26"/>
  <c r="N44" i="26"/>
  <c r="N32" i="26"/>
  <c r="N31" i="26"/>
  <c r="I33" i="26"/>
  <c r="I38" i="26"/>
  <c r="J35" i="26"/>
  <c r="J39" i="26"/>
  <c r="J36" i="26"/>
  <c r="J41" i="26"/>
  <c r="J42" i="26"/>
  <c r="J40" i="26"/>
  <c r="K30" i="26"/>
  <c r="K31" i="26" s="1"/>
  <c r="K44" i="26"/>
  <c r="Z15" i="20"/>
  <c r="AA18" i="20"/>
  <c r="Z18" i="20"/>
  <c r="Y15" i="20"/>
  <c r="Y18" i="20"/>
  <c r="X18" i="20"/>
  <c r="W18" i="20"/>
  <c r="V18" i="20"/>
  <c r="U18" i="20"/>
  <c r="W15" i="20"/>
  <c r="V15" i="20"/>
  <c r="W7" i="20"/>
  <c r="V7" i="20"/>
  <c r="U15" i="20"/>
  <c r="T15" i="20"/>
  <c r="T18" i="20"/>
  <c r="U7" i="20"/>
  <c r="T7" i="20"/>
  <c r="S15" i="20"/>
  <c r="R15" i="20"/>
  <c r="S18" i="20"/>
  <c r="R18" i="20"/>
  <c r="S7" i="20"/>
  <c r="R7" i="20"/>
  <c r="Q15" i="20"/>
  <c r="P15" i="20"/>
  <c r="Q7" i="20"/>
  <c r="P7" i="20"/>
  <c r="O18" i="20"/>
  <c r="N18" i="20"/>
  <c r="O15" i="20"/>
  <c r="N15" i="20"/>
  <c r="O7" i="20"/>
  <c r="N7" i="20"/>
  <c r="M15" i="20"/>
  <c r="L15" i="20"/>
  <c r="M20" i="20"/>
  <c r="M41" i="20" s="1"/>
  <c r="L20" i="20"/>
  <c r="L41" i="20" s="1"/>
  <c r="M22" i="20"/>
  <c r="L22" i="20"/>
  <c r="M7" i="20"/>
  <c r="L7" i="20"/>
  <c r="K7" i="20"/>
  <c r="K20" i="20"/>
  <c r="K41" i="20" s="1"/>
  <c r="J20" i="20"/>
  <c r="J41" i="20" s="1"/>
  <c r="K15" i="20"/>
  <c r="J15" i="20"/>
  <c r="J7" i="20"/>
  <c r="J6" i="20"/>
  <c r="K6" i="20"/>
  <c r="J13" i="20"/>
  <c r="J46" i="20" s="1"/>
  <c r="I20" i="20"/>
  <c r="I41" i="20" s="1"/>
  <c r="H20" i="20"/>
  <c r="H41" i="20" s="1"/>
  <c r="I22" i="20"/>
  <c r="H22" i="20"/>
  <c r="I15" i="20"/>
  <c r="H15" i="20"/>
  <c r="I13" i="20"/>
  <c r="I46" i="20" s="1"/>
  <c r="I14" i="20"/>
  <c r="H14" i="20"/>
  <c r="H12" i="20"/>
  <c r="H11" i="20"/>
  <c r="H10" i="20"/>
  <c r="I7" i="20"/>
  <c r="H9" i="20"/>
  <c r="H8" i="20"/>
  <c r="H7" i="20" s="1"/>
  <c r="H1" i="20" s="1"/>
  <c r="H6" i="20"/>
  <c r="AA15" i="18"/>
  <c r="Z15" i="18"/>
  <c r="X41" i="18"/>
  <c r="Y15" i="18"/>
  <c r="W23" i="18"/>
  <c r="V23" i="18"/>
  <c r="W22" i="18"/>
  <c r="V22" i="18"/>
  <c r="W21" i="18"/>
  <c r="V21" i="18"/>
  <c r="W18" i="18"/>
  <c r="V18" i="18"/>
  <c r="W15" i="18"/>
  <c r="V15" i="18"/>
  <c r="U8" i="18"/>
  <c r="T8" i="18"/>
  <c r="S8" i="18"/>
  <c r="R8" i="18"/>
  <c r="Q8" i="18"/>
  <c r="P8" i="18"/>
  <c r="W8" i="18"/>
  <c r="V8" i="18"/>
  <c r="V9" i="18"/>
  <c r="U18" i="18"/>
  <c r="T18" i="18"/>
  <c r="U15" i="18"/>
  <c r="T15" i="18"/>
  <c r="S15" i="18"/>
  <c r="R15" i="18"/>
  <c r="S18" i="18"/>
  <c r="R18" i="18"/>
  <c r="Q18" i="18"/>
  <c r="P18" i="18"/>
  <c r="P13" i="18"/>
  <c r="P46" i="18" s="1"/>
  <c r="O13" i="18"/>
  <c r="O46" i="18" s="1"/>
  <c r="N13" i="18"/>
  <c r="N46" i="18" s="1"/>
  <c r="N14" i="18"/>
  <c r="L15" i="18"/>
  <c r="M22" i="18"/>
  <c r="L22" i="18"/>
  <c r="M13" i="18"/>
  <c r="M46" i="18" s="1"/>
  <c r="L13" i="18"/>
  <c r="L46" i="18" s="1"/>
  <c r="L14" i="18"/>
  <c r="M7" i="18"/>
  <c r="L7" i="18"/>
  <c r="M12" i="18"/>
  <c r="L12" i="18"/>
  <c r="K11" i="18"/>
  <c r="M6" i="18"/>
  <c r="L6" i="18"/>
  <c r="L19" i="18"/>
  <c r="L41" i="18" s="1"/>
  <c r="K9" i="18"/>
  <c r="K8" i="18"/>
  <c r="K7" i="18"/>
  <c r="K6" i="18"/>
  <c r="J6" i="18"/>
  <c r="J8" i="18"/>
  <c r="J7" i="18" s="1"/>
  <c r="K15" i="18"/>
  <c r="J15" i="18"/>
  <c r="K22" i="18"/>
  <c r="J22" i="18"/>
  <c r="K21" i="18"/>
  <c r="J21" i="18"/>
  <c r="K19" i="18"/>
  <c r="K41" i="18" s="1"/>
  <c r="J19" i="18"/>
  <c r="J41" i="18" s="1"/>
  <c r="K23" i="18"/>
  <c r="J23" i="18"/>
  <c r="K16" i="18"/>
  <c r="J16" i="18"/>
  <c r="K18" i="18"/>
  <c r="J18" i="18"/>
  <c r="K12" i="18"/>
  <c r="J12" i="18"/>
  <c r="J11" i="18"/>
  <c r="K10" i="18"/>
  <c r="J10" i="18"/>
  <c r="J9" i="18"/>
  <c r="K13" i="18"/>
  <c r="K46" i="18" s="1"/>
  <c r="J13" i="18"/>
  <c r="J46" i="18" s="1"/>
  <c r="K14" i="18"/>
  <c r="J14" i="18"/>
  <c r="I22" i="18"/>
  <c r="H22" i="18"/>
  <c r="I21" i="18"/>
  <c r="H21" i="18"/>
  <c r="I19" i="18"/>
  <c r="I41" i="18" s="1"/>
  <c r="H19" i="18"/>
  <c r="H41" i="18" s="1"/>
  <c r="I23" i="18"/>
  <c r="H23" i="18"/>
  <c r="I15" i="18"/>
  <c r="H15" i="18"/>
  <c r="I16" i="18"/>
  <c r="H16" i="18"/>
  <c r="I18" i="18"/>
  <c r="I14" i="18"/>
  <c r="H14" i="18"/>
  <c r="I12" i="18"/>
  <c r="H12" i="18"/>
  <c r="I11" i="18"/>
  <c r="H11" i="18"/>
  <c r="I10" i="18"/>
  <c r="H10" i="18"/>
  <c r="I9" i="18"/>
  <c r="H9" i="18"/>
  <c r="I8" i="18"/>
  <c r="I7" i="18" s="1"/>
  <c r="H8" i="18"/>
  <c r="H7" i="18" s="1"/>
  <c r="I6" i="18"/>
  <c r="H6" i="18"/>
  <c r="X18" i="18" l="1"/>
  <c r="L30" i="26"/>
  <c r="L31" i="26" s="1"/>
  <c r="L44" i="26"/>
  <c r="H2" i="20"/>
  <c r="H10" i="10"/>
  <c r="G10" i="10"/>
  <c r="F10" i="10"/>
  <c r="E10" i="10"/>
  <c r="F12" i="10"/>
  <c r="E12" i="10"/>
  <c r="E6" i="10"/>
  <c r="F6" i="10"/>
  <c r="E8" i="10"/>
  <c r="E7" i="10" s="1"/>
  <c r="F8" i="10"/>
  <c r="E9" i="10"/>
  <c r="F9" i="10"/>
  <c r="F11" i="10"/>
  <c r="E11" i="10"/>
  <c r="F7" i="10" l="1"/>
  <c r="U13" i="10"/>
  <c r="U46" i="10" s="1"/>
  <c r="T13" i="10"/>
  <c r="T46" i="10" s="1"/>
  <c r="S12" i="10"/>
  <c r="S6" i="10"/>
  <c r="R22" i="10"/>
  <c r="R6" i="10"/>
  <c r="Q6" i="10"/>
  <c r="P6" i="10"/>
  <c r="R27" i="10" l="1"/>
  <c r="R35" i="10"/>
  <c r="R33" i="10"/>
  <c r="R32" i="10"/>
  <c r="S33" i="10"/>
  <c r="S32" i="10"/>
  <c r="S27" i="10"/>
  <c r="S35" i="10"/>
  <c r="S39" i="10"/>
  <c r="S36" i="10"/>
  <c r="P32" i="10"/>
  <c r="P27" i="10"/>
  <c r="P33" i="10"/>
  <c r="P35" i="10"/>
  <c r="Q33" i="10"/>
  <c r="Q32" i="10"/>
  <c r="Q35" i="10"/>
  <c r="Q27" i="10"/>
  <c r="AA29" i="22"/>
  <c r="AA32" i="22"/>
  <c r="AA46" i="22"/>
  <c r="Z15" i="22"/>
  <c r="Z29" i="22" s="1"/>
  <c r="Y15" i="22"/>
  <c r="Y29" i="22" s="1"/>
  <c r="Z32" i="22"/>
  <c r="Y7" i="22"/>
  <c r="Y6" i="22"/>
  <c r="Z46" i="22"/>
  <c r="Y13" i="22"/>
  <c r="Y46" i="22" s="1"/>
  <c r="X15" i="22"/>
  <c r="X29" i="22" s="1"/>
  <c r="W15" i="22"/>
  <c r="W21" i="22"/>
  <c r="W42" i="22" s="1"/>
  <c r="X7" i="22"/>
  <c r="X32" i="22" s="1"/>
  <c r="W7" i="22"/>
  <c r="V9" i="22"/>
  <c r="X6" i="22"/>
  <c r="W6" i="22"/>
  <c r="X13" i="22"/>
  <c r="X46" i="22" s="1"/>
  <c r="W13" i="22"/>
  <c r="W46" i="22" s="1"/>
  <c r="W14" i="22"/>
  <c r="W43" i="22" s="1"/>
  <c r="U10" i="22"/>
  <c r="U9" i="22"/>
  <c r="V14" i="22"/>
  <c r="V15" i="22"/>
  <c r="V29" i="22" s="1"/>
  <c r="V16" i="22"/>
  <c r="V12" i="22"/>
  <c r="V11" i="22"/>
  <c r="V34" i="22" s="1"/>
  <c r="V8" i="22"/>
  <c r="V6" i="22"/>
  <c r="U6" i="22"/>
  <c r="U8" i="22"/>
  <c r="U11" i="22"/>
  <c r="U12" i="22"/>
  <c r="U13" i="22"/>
  <c r="U46" i="22" s="1"/>
  <c r="V13" i="22"/>
  <c r="V46" i="22" s="1"/>
  <c r="U14" i="22"/>
  <c r="U15" i="22"/>
  <c r="U16" i="22"/>
  <c r="U18" i="22"/>
  <c r="V18" i="22"/>
  <c r="U19" i="22"/>
  <c r="V19" i="22"/>
  <c r="U20" i="22"/>
  <c r="V20" i="22"/>
  <c r="U21" i="22"/>
  <c r="V21" i="22"/>
  <c r="U22" i="22"/>
  <c r="V22" i="22"/>
  <c r="U23" i="22"/>
  <c r="V23" i="22"/>
  <c r="T9" i="22"/>
  <c r="T15" i="22"/>
  <c r="T16" i="22"/>
  <c r="T19" i="22"/>
  <c r="T18" i="22"/>
  <c r="T45" i="22" s="1"/>
  <c r="T22" i="22"/>
  <c r="T21" i="22"/>
  <c r="T20" i="22"/>
  <c r="T11" i="22"/>
  <c r="T34" i="22" s="1"/>
  <c r="T12" i="22"/>
  <c r="T8" i="22"/>
  <c r="T6" i="22"/>
  <c r="T13" i="22"/>
  <c r="T46" i="22" s="1"/>
  <c r="T14" i="22"/>
  <c r="T43" i="22" s="1"/>
  <c r="S10" i="22"/>
  <c r="S7" i="22"/>
  <c r="R7" i="22"/>
  <c r="S15" i="22"/>
  <c r="R15" i="22"/>
  <c r="S16" i="22"/>
  <c r="R16" i="22"/>
  <c r="S18" i="22"/>
  <c r="R18" i="22"/>
  <c r="S19" i="22"/>
  <c r="R19" i="22"/>
  <c r="S23" i="22"/>
  <c r="R23" i="22"/>
  <c r="S22" i="22"/>
  <c r="R22" i="22"/>
  <c r="S21" i="22"/>
  <c r="R21" i="22"/>
  <c r="S20" i="22"/>
  <c r="R20" i="22"/>
  <c r="S11" i="22"/>
  <c r="R11" i="22"/>
  <c r="R34" i="22" s="1"/>
  <c r="S8" i="22"/>
  <c r="R8" i="22"/>
  <c r="S12" i="22"/>
  <c r="R12" i="22"/>
  <c r="S6" i="22"/>
  <c r="R6" i="22"/>
  <c r="S13" i="22"/>
  <c r="S46" i="22" s="1"/>
  <c r="R13" i="22"/>
  <c r="R46" i="22" s="1"/>
  <c r="S14" i="22"/>
  <c r="R14" i="22"/>
  <c r="Q9" i="22"/>
  <c r="P9" i="22"/>
  <c r="Q8" i="22"/>
  <c r="Q7" i="22" s="1"/>
  <c r="P8" i="22"/>
  <c r="P7" i="22" s="1"/>
  <c r="Q11" i="22"/>
  <c r="Q34" i="22" s="1"/>
  <c r="P11" i="22"/>
  <c r="P34" i="22" s="1"/>
  <c r="O12" i="22"/>
  <c r="N12" i="22"/>
  <c r="O11" i="22"/>
  <c r="N11" i="22"/>
  <c r="O9" i="22"/>
  <c r="N9" i="22"/>
  <c r="O8" i="22"/>
  <c r="N8" i="22"/>
  <c r="O6" i="22"/>
  <c r="N6" i="22"/>
  <c r="Q6" i="22"/>
  <c r="P6" i="22"/>
  <c r="Q12" i="22"/>
  <c r="P12" i="22"/>
  <c r="Q15" i="22"/>
  <c r="P15" i="22"/>
  <c r="Q22" i="22"/>
  <c r="P22" i="22"/>
  <c r="Q21" i="22"/>
  <c r="P21" i="22"/>
  <c r="Q20" i="22"/>
  <c r="P20" i="22"/>
  <c r="Q19" i="22"/>
  <c r="P19" i="22"/>
  <c r="Q18" i="22"/>
  <c r="P18" i="22"/>
  <c r="Q23" i="22"/>
  <c r="P23" i="22"/>
  <c r="Q16" i="22"/>
  <c r="P16" i="22"/>
  <c r="Q13" i="22"/>
  <c r="Q46" i="22" s="1"/>
  <c r="P13" i="22"/>
  <c r="P46" i="22" s="1"/>
  <c r="Q14" i="22"/>
  <c r="P14" i="22"/>
  <c r="O10" i="22"/>
  <c r="N10" i="22"/>
  <c r="O15" i="22"/>
  <c r="N15" i="22"/>
  <c r="O16" i="22"/>
  <c r="N16" i="22"/>
  <c r="O22" i="22"/>
  <c r="N22" i="22"/>
  <c r="O21" i="22"/>
  <c r="N21" i="22"/>
  <c r="O20" i="22"/>
  <c r="N20" i="22"/>
  <c r="O19" i="22"/>
  <c r="N19" i="22"/>
  <c r="O18" i="22"/>
  <c r="N18" i="22"/>
  <c r="O23" i="22"/>
  <c r="N23" i="22"/>
  <c r="O13" i="22"/>
  <c r="O46" i="22" s="1"/>
  <c r="N13" i="22"/>
  <c r="N46" i="22" s="1"/>
  <c r="O14" i="22"/>
  <c r="O43" i="22" s="1"/>
  <c r="N14" i="22"/>
  <c r="N43" i="22" s="1"/>
  <c r="M15" i="22"/>
  <c r="L15" i="22"/>
  <c r="K15" i="22"/>
  <c r="J15" i="22"/>
  <c r="M22" i="22"/>
  <c r="L22" i="22"/>
  <c r="M21" i="22"/>
  <c r="L21" i="22"/>
  <c r="M19" i="22"/>
  <c r="L19" i="22"/>
  <c r="M18" i="22"/>
  <c r="L18" i="22"/>
  <c r="M23" i="22"/>
  <c r="L23" i="22"/>
  <c r="M16" i="22"/>
  <c r="L16" i="22"/>
  <c r="M12" i="22"/>
  <c r="L12" i="22"/>
  <c r="M11" i="22"/>
  <c r="L11" i="22"/>
  <c r="M6" i="22"/>
  <c r="L6" i="22"/>
  <c r="M9" i="22"/>
  <c r="L9" i="22"/>
  <c r="M10" i="22"/>
  <c r="L10" i="22"/>
  <c r="M8" i="22"/>
  <c r="L8" i="22"/>
  <c r="M13" i="22"/>
  <c r="M46" i="22" s="1"/>
  <c r="L13" i="22"/>
  <c r="L46" i="22" s="1"/>
  <c r="M14" i="22"/>
  <c r="L14" i="22"/>
  <c r="J22" i="22"/>
  <c r="K22" i="22"/>
  <c r="K21" i="22"/>
  <c r="J21" i="22"/>
  <c r="J20" i="22" s="1"/>
  <c r="K19" i="22"/>
  <c r="J19" i="22"/>
  <c r="K23" i="22"/>
  <c r="J23" i="22"/>
  <c r="K18" i="22"/>
  <c r="J18" i="22"/>
  <c r="K16" i="22"/>
  <c r="J16" i="22"/>
  <c r="K9" i="22"/>
  <c r="J9" i="22"/>
  <c r="K10" i="22"/>
  <c r="J10" i="22"/>
  <c r="J12" i="22"/>
  <c r="K12" i="22"/>
  <c r="K11" i="22"/>
  <c r="J11" i="22"/>
  <c r="K8" i="22"/>
  <c r="J8" i="22"/>
  <c r="K6" i="22"/>
  <c r="J6" i="22"/>
  <c r="K13" i="22"/>
  <c r="K46" i="22" s="1"/>
  <c r="J13" i="22"/>
  <c r="J46" i="22" s="1"/>
  <c r="K14" i="22"/>
  <c r="J14" i="22"/>
  <c r="H19" i="22"/>
  <c r="I19" i="22"/>
  <c r="I22" i="22"/>
  <c r="H22" i="22"/>
  <c r="I18" i="22"/>
  <c r="H18" i="22"/>
  <c r="I16" i="22"/>
  <c r="H16" i="22"/>
  <c r="I15" i="22"/>
  <c r="H15" i="22"/>
  <c r="I23" i="22"/>
  <c r="H23" i="22"/>
  <c r="I21" i="22"/>
  <c r="I20" i="22" s="1"/>
  <c r="H21" i="22"/>
  <c r="H20" i="22" s="1"/>
  <c r="I6" i="22"/>
  <c r="H6" i="22"/>
  <c r="I12" i="22"/>
  <c r="H12" i="22"/>
  <c r="I11" i="22"/>
  <c r="H11" i="22"/>
  <c r="I10" i="22"/>
  <c r="H10" i="22"/>
  <c r="I9" i="22"/>
  <c r="H9" i="22"/>
  <c r="I8" i="22"/>
  <c r="I7" i="22" s="1"/>
  <c r="H8" i="22"/>
  <c r="H7" i="22" s="1"/>
  <c r="I13" i="22"/>
  <c r="I46" i="22" s="1"/>
  <c r="H13" i="22"/>
  <c r="H46" i="22" s="1"/>
  <c r="H14" i="22"/>
  <c r="I14" i="22"/>
  <c r="AB20" i="34"/>
  <c r="AA20" i="34"/>
  <c r="AB16" i="34"/>
  <c r="AA16" i="34"/>
  <c r="AB19" i="34"/>
  <c r="AA19" i="34"/>
  <c r="AB45" i="34"/>
  <c r="AA45" i="34"/>
  <c r="AB6" i="34"/>
  <c r="AB13" i="34"/>
  <c r="AB46" i="34" s="1"/>
  <c r="AA13" i="34"/>
  <c r="AA46" i="34" s="1"/>
  <c r="Y15" i="34"/>
  <c r="Z16" i="34"/>
  <c r="Y16" i="34"/>
  <c r="Z12" i="34"/>
  <c r="Y12" i="34"/>
  <c r="Z19" i="34"/>
  <c r="Y19" i="34"/>
  <c r="Y18" i="34"/>
  <c r="Y23" i="34"/>
  <c r="Y22" i="34"/>
  <c r="Z21" i="34"/>
  <c r="Y21" i="34"/>
  <c r="Z20" i="34"/>
  <c r="Y20" i="34"/>
  <c r="Z11" i="34"/>
  <c r="Y11" i="34"/>
  <c r="Z10" i="34"/>
  <c r="Y10" i="34"/>
  <c r="Y6" i="34"/>
  <c r="Y14" i="34"/>
  <c r="Z13" i="34"/>
  <c r="Z46" i="34" s="1"/>
  <c r="Y13" i="34"/>
  <c r="Y46" i="34" s="1"/>
  <c r="X9" i="34"/>
  <c r="W9" i="34"/>
  <c r="X8" i="34"/>
  <c r="W8" i="34"/>
  <c r="X7" i="34"/>
  <c r="W7" i="34"/>
  <c r="X22" i="34"/>
  <c r="W22" i="34"/>
  <c r="X21" i="34"/>
  <c r="W21" i="34"/>
  <c r="X20" i="34"/>
  <c r="W20" i="34"/>
  <c r="X23" i="34"/>
  <c r="X37" i="34" s="1"/>
  <c r="W23" i="34"/>
  <c r="W37" i="34" s="1"/>
  <c r="X15" i="34"/>
  <c r="W15" i="34"/>
  <c r="X16" i="34"/>
  <c r="W16" i="34"/>
  <c r="X19" i="34"/>
  <c r="W19" i="34"/>
  <c r="X18" i="34"/>
  <c r="X45" i="34" s="1"/>
  <c r="W18" i="34"/>
  <c r="X10" i="34"/>
  <c r="W10" i="34"/>
  <c r="X12" i="34"/>
  <c r="W12" i="34"/>
  <c r="X11" i="34"/>
  <c r="W11" i="34"/>
  <c r="X6" i="34"/>
  <c r="X27" i="34" s="1"/>
  <c r="W6" i="34"/>
  <c r="W27" i="34" s="1"/>
  <c r="X13" i="34"/>
  <c r="X46" i="34" s="1"/>
  <c r="W13" i="34"/>
  <c r="W46" i="34" s="1"/>
  <c r="X14" i="34"/>
  <c r="W14" i="34"/>
  <c r="V15" i="34"/>
  <c r="U15" i="34"/>
  <c r="V22" i="34"/>
  <c r="U22" i="34"/>
  <c r="V21" i="34"/>
  <c r="U21" i="34"/>
  <c r="V20" i="34"/>
  <c r="U20" i="34"/>
  <c r="V19" i="34"/>
  <c r="U19" i="34"/>
  <c r="N29" i="22" l="1"/>
  <c r="J34" i="22"/>
  <c r="L34" i="22"/>
  <c r="J45" i="22"/>
  <c r="L29" i="22"/>
  <c r="P43" i="22"/>
  <c r="J43" i="22"/>
  <c r="L45" i="22"/>
  <c r="X43" i="34"/>
  <c r="K34" i="22"/>
  <c r="I43" i="22"/>
  <c r="I45" i="22"/>
  <c r="K45" i="22"/>
  <c r="M29" i="22"/>
  <c r="Q43" i="22"/>
  <c r="Y43" i="34"/>
  <c r="Y34" i="34"/>
  <c r="K43" i="22"/>
  <c r="M45" i="22"/>
  <c r="X44" i="22"/>
  <c r="H41" i="22"/>
  <c r="R45" i="22"/>
  <c r="O45" i="22"/>
  <c r="Q45" i="22"/>
  <c r="S45" i="22"/>
  <c r="W29" i="34"/>
  <c r="W44" i="34" s="1"/>
  <c r="Y29" i="34"/>
  <c r="Y44" i="34" s="1"/>
  <c r="W45" i="34"/>
  <c r="Y45" i="34"/>
  <c r="AA34" i="34"/>
  <c r="X39" i="34"/>
  <c r="X35" i="34"/>
  <c r="X36" i="34"/>
  <c r="Z35" i="34"/>
  <c r="Z39" i="34"/>
  <c r="Z36" i="34"/>
  <c r="AB38" i="34"/>
  <c r="AB37" i="34"/>
  <c r="J41" i="22"/>
  <c r="J42" i="22"/>
  <c r="J40" i="22"/>
  <c r="L7" i="22"/>
  <c r="L32" i="22" s="1"/>
  <c r="L38" i="22"/>
  <c r="L33" i="22"/>
  <c r="J29" i="22"/>
  <c r="N34" i="22"/>
  <c r="P32" i="22"/>
  <c r="R41" i="22"/>
  <c r="R42" i="22"/>
  <c r="R40" i="22"/>
  <c r="R32" i="22"/>
  <c r="T35" i="22"/>
  <c r="T39" i="22"/>
  <c r="T29" i="22"/>
  <c r="V41" i="22"/>
  <c r="V40" i="22"/>
  <c r="V42" i="22"/>
  <c r="U43" i="22"/>
  <c r="V33" i="22"/>
  <c r="V38" i="22"/>
  <c r="V42" i="34"/>
  <c r="V41" i="34"/>
  <c r="V40" i="34"/>
  <c r="Y38" i="34"/>
  <c r="Y37" i="34"/>
  <c r="AA33" i="34"/>
  <c r="AA32" i="34"/>
  <c r="AA27" i="34"/>
  <c r="AA41" i="34"/>
  <c r="AA40" i="34"/>
  <c r="I32" i="22"/>
  <c r="M7" i="22"/>
  <c r="M32" i="22" s="1"/>
  <c r="M38" i="22"/>
  <c r="M33" i="22"/>
  <c r="M34" i="22"/>
  <c r="K29" i="22"/>
  <c r="O34" i="22"/>
  <c r="Q32" i="22"/>
  <c r="S41" i="22"/>
  <c r="S42" i="22"/>
  <c r="S40" i="22"/>
  <c r="S32" i="22"/>
  <c r="U41" i="22"/>
  <c r="U40" i="22"/>
  <c r="U42" i="22"/>
  <c r="V7" i="22"/>
  <c r="V32" i="22" s="1"/>
  <c r="Y44" i="22"/>
  <c r="X29" i="34"/>
  <c r="Z34" i="34"/>
  <c r="Z38" i="34"/>
  <c r="Z37" i="34"/>
  <c r="AB27" i="34"/>
  <c r="AB33" i="34"/>
  <c r="AB32" i="34"/>
  <c r="AB42" i="34"/>
  <c r="AB41" i="34"/>
  <c r="AB40" i="34"/>
  <c r="K35" i="22"/>
  <c r="K39" i="22"/>
  <c r="L35" i="22"/>
  <c r="L39" i="22"/>
  <c r="N45" i="22"/>
  <c r="P45" i="22"/>
  <c r="N35" i="22"/>
  <c r="N39" i="22"/>
  <c r="R35" i="22"/>
  <c r="R39" i="22"/>
  <c r="T41" i="22"/>
  <c r="T40" i="22"/>
  <c r="T42" i="22"/>
  <c r="W29" i="22"/>
  <c r="W44" i="22" s="1"/>
  <c r="Z44" i="22"/>
  <c r="J35" i="22"/>
  <c r="J39" i="22"/>
  <c r="M39" i="22"/>
  <c r="M35" i="22"/>
  <c r="M44" i="22"/>
  <c r="O39" i="22"/>
  <c r="O35" i="22"/>
  <c r="S35" i="22"/>
  <c r="S39" i="22"/>
  <c r="U39" i="22"/>
  <c r="U35" i="22"/>
  <c r="V35" i="22"/>
  <c r="V39" i="22"/>
  <c r="W32" i="34"/>
  <c r="W28" i="34"/>
  <c r="X32" i="34"/>
  <c r="X28" i="34"/>
  <c r="Z41" i="34"/>
  <c r="Z40" i="34"/>
  <c r="Z42" i="34"/>
  <c r="Z45" i="34"/>
  <c r="AB35" i="34"/>
  <c r="AB39" i="34"/>
  <c r="AB36" i="34"/>
  <c r="I34" i="22"/>
  <c r="L43" i="22"/>
  <c r="P29" i="22"/>
  <c r="P44" i="22" s="1"/>
  <c r="N7" i="22"/>
  <c r="N32" i="22" s="1"/>
  <c r="N33" i="22"/>
  <c r="N38" i="22"/>
  <c r="R43" i="22"/>
  <c r="R38" i="22"/>
  <c r="R33" i="22"/>
  <c r="V45" i="22"/>
  <c r="U34" i="22"/>
  <c r="W33" i="22"/>
  <c r="W35" i="22"/>
  <c r="W30" i="34"/>
  <c r="W31" i="34" s="1"/>
  <c r="Y40" i="34"/>
  <c r="Y42" i="34"/>
  <c r="Y41" i="34"/>
  <c r="AA35" i="34"/>
  <c r="AA39" i="34"/>
  <c r="AA36" i="34"/>
  <c r="W42" i="34"/>
  <c r="W41" i="34"/>
  <c r="W40" i="34"/>
  <c r="W38" i="34"/>
  <c r="W33" i="34"/>
  <c r="Y33" i="34"/>
  <c r="Y32" i="34"/>
  <c r="Y27" i="34"/>
  <c r="AA43" i="34"/>
  <c r="AA29" i="34"/>
  <c r="M43" i="22"/>
  <c r="Q29" i="22"/>
  <c r="O7" i="22"/>
  <c r="O32" i="22" s="1"/>
  <c r="O33" i="22"/>
  <c r="O38" i="22"/>
  <c r="S43" i="22"/>
  <c r="S38" i="22"/>
  <c r="S33" i="22"/>
  <c r="U45" i="22"/>
  <c r="U7" i="22"/>
  <c r="U32" i="22" s="1"/>
  <c r="U38" i="22"/>
  <c r="U33" i="22"/>
  <c r="X35" i="22"/>
  <c r="X33" i="22"/>
  <c r="AA44" i="22"/>
  <c r="X34" i="34"/>
  <c r="X42" i="34"/>
  <c r="X41" i="34"/>
  <c r="X40" i="34"/>
  <c r="X33" i="34"/>
  <c r="X38" i="34"/>
  <c r="Z33" i="34"/>
  <c r="Z32" i="34"/>
  <c r="Z27" i="34"/>
  <c r="AB43" i="34"/>
  <c r="AB34" i="34"/>
  <c r="AB29" i="34"/>
  <c r="I33" i="22"/>
  <c r="I38" i="22"/>
  <c r="I35" i="22"/>
  <c r="I39" i="22"/>
  <c r="J7" i="22"/>
  <c r="J32" i="22" s="1"/>
  <c r="J38" i="22"/>
  <c r="J33" i="22"/>
  <c r="N41" i="22"/>
  <c r="N40" i="22"/>
  <c r="N42" i="22"/>
  <c r="P41" i="22"/>
  <c r="P40" i="22"/>
  <c r="P42" i="22"/>
  <c r="P35" i="22"/>
  <c r="P39" i="22"/>
  <c r="P33" i="22"/>
  <c r="P38" i="22"/>
  <c r="R29" i="22"/>
  <c r="R44" i="22" s="1"/>
  <c r="T38" i="22"/>
  <c r="T33" i="22"/>
  <c r="V43" i="22"/>
  <c r="Y35" i="22"/>
  <c r="Y33" i="22"/>
  <c r="I41" i="22"/>
  <c r="I42" i="22"/>
  <c r="I40" i="22"/>
  <c r="W34" i="34"/>
  <c r="U42" i="34"/>
  <c r="U41" i="34"/>
  <c r="U40" i="34"/>
  <c r="W43" i="34"/>
  <c r="W35" i="34"/>
  <c r="W39" i="34"/>
  <c r="W36" i="34"/>
  <c r="Y39" i="34"/>
  <c r="Y35" i="34"/>
  <c r="Y36" i="34"/>
  <c r="AA38" i="34"/>
  <c r="AA37" i="34"/>
  <c r="I29" i="22"/>
  <c r="K7" i="22"/>
  <c r="K32" i="22" s="1"/>
  <c r="K38" i="22"/>
  <c r="K33" i="22"/>
  <c r="O41" i="22"/>
  <c r="O42" i="22"/>
  <c r="O40" i="22"/>
  <c r="O29" i="22"/>
  <c r="Q41" i="22"/>
  <c r="Q42" i="22"/>
  <c r="Q40" i="22"/>
  <c r="Q35" i="22"/>
  <c r="Q39" i="22"/>
  <c r="Q33" i="22"/>
  <c r="Q38" i="22"/>
  <c r="S34" i="22"/>
  <c r="S29" i="22"/>
  <c r="T7" i="22"/>
  <c r="T32" i="22" s="1"/>
  <c r="U29" i="22"/>
  <c r="W32" i="22"/>
  <c r="Y32" i="22"/>
  <c r="M20" i="22"/>
  <c r="L20" i="22"/>
  <c r="K20" i="22"/>
  <c r="V18" i="34"/>
  <c r="U18" i="34"/>
  <c r="V23" i="34"/>
  <c r="V37" i="34" s="1"/>
  <c r="U23" i="34"/>
  <c r="U37" i="34" s="1"/>
  <c r="V16" i="34"/>
  <c r="U16" i="34"/>
  <c r="V8" i="34"/>
  <c r="U8" i="34"/>
  <c r="V7" i="34"/>
  <c r="U7" i="34"/>
  <c r="V12" i="34"/>
  <c r="U12" i="34"/>
  <c r="V10" i="34"/>
  <c r="U10" i="34"/>
  <c r="V11" i="34"/>
  <c r="U11" i="34"/>
  <c r="V6" i="34"/>
  <c r="V27" i="34" s="1"/>
  <c r="U6" i="34"/>
  <c r="U27" i="34" s="1"/>
  <c r="V13" i="34"/>
  <c r="V46" i="34" s="1"/>
  <c r="U13" i="34"/>
  <c r="U46" i="34" s="1"/>
  <c r="V14" i="34"/>
  <c r="V43" i="34" s="1"/>
  <c r="U14" i="34"/>
  <c r="U43" i="34" s="1"/>
  <c r="T15" i="34"/>
  <c r="S15" i="34"/>
  <c r="T22" i="34"/>
  <c r="S22" i="34"/>
  <c r="T21" i="34"/>
  <c r="S21" i="34"/>
  <c r="T20" i="34"/>
  <c r="S20" i="34"/>
  <c r="T19" i="34"/>
  <c r="S19" i="34"/>
  <c r="T18" i="34"/>
  <c r="S18" i="34"/>
  <c r="T16" i="34"/>
  <c r="S16" i="34"/>
  <c r="T23" i="34"/>
  <c r="S23" i="34"/>
  <c r="R9" i="34"/>
  <c r="T12" i="34"/>
  <c r="S12" i="34"/>
  <c r="T11" i="34"/>
  <c r="S11" i="34"/>
  <c r="T6" i="34"/>
  <c r="S6" i="34"/>
  <c r="T10" i="34"/>
  <c r="S10" i="34"/>
  <c r="R6" i="34"/>
  <c r="R27" i="34" s="1"/>
  <c r="Q6" i="34"/>
  <c r="Q27" i="34" s="1"/>
  <c r="T13" i="34"/>
  <c r="T46" i="34" s="1"/>
  <c r="S13" i="34"/>
  <c r="S46" i="34" s="1"/>
  <c r="T14" i="34"/>
  <c r="S14" i="34"/>
  <c r="R22" i="34"/>
  <c r="Q22" i="34"/>
  <c r="R21" i="34"/>
  <c r="Q21" i="34"/>
  <c r="R20" i="34"/>
  <c r="Q20" i="34"/>
  <c r="R23" i="34"/>
  <c r="R37" i="34" s="1"/>
  <c r="Q23" i="34"/>
  <c r="Q37" i="34" s="1"/>
  <c r="R19" i="34"/>
  <c r="Q19" i="34"/>
  <c r="R18" i="34"/>
  <c r="Q18" i="34"/>
  <c r="R15" i="34"/>
  <c r="Q15" i="34"/>
  <c r="R16" i="34"/>
  <c r="Q16" i="34"/>
  <c r="R12" i="34"/>
  <c r="Q12" i="34"/>
  <c r="R11" i="34"/>
  <c r="Q11" i="34"/>
  <c r="R10" i="34"/>
  <c r="Q10" i="34"/>
  <c r="Q9" i="34"/>
  <c r="R8" i="34"/>
  <c r="Q8" i="34"/>
  <c r="Q7" i="34" s="1"/>
  <c r="R13" i="34"/>
  <c r="R46" i="34" s="1"/>
  <c r="Q13" i="34"/>
  <c r="Q46" i="34" s="1"/>
  <c r="R14" i="34"/>
  <c r="Q14" i="34"/>
  <c r="P15" i="34"/>
  <c r="P29" i="34" s="1"/>
  <c r="O15" i="34"/>
  <c r="P16" i="34"/>
  <c r="O16" i="34"/>
  <c r="P22" i="34"/>
  <c r="O22" i="34"/>
  <c r="P21" i="34"/>
  <c r="O21" i="34"/>
  <c r="P20" i="34"/>
  <c r="O20" i="34"/>
  <c r="P19" i="34"/>
  <c r="P18" i="34" s="1"/>
  <c r="O19" i="34"/>
  <c r="O18" i="34" s="1"/>
  <c r="O45" i="34" s="1"/>
  <c r="P23" i="34"/>
  <c r="P37" i="34" s="1"/>
  <c r="O23" i="34"/>
  <c r="O37" i="34" s="1"/>
  <c r="P12" i="34"/>
  <c r="O12" i="34"/>
  <c r="P11" i="34"/>
  <c r="O11" i="34"/>
  <c r="P10" i="34"/>
  <c r="O10" i="34"/>
  <c r="P9" i="34"/>
  <c r="O9" i="34"/>
  <c r="P8" i="34"/>
  <c r="P7" i="34" s="1"/>
  <c r="O8" i="34"/>
  <c r="P6" i="34"/>
  <c r="P27" i="34" s="1"/>
  <c r="O6" i="34"/>
  <c r="O27" i="34" s="1"/>
  <c r="O13" i="34"/>
  <c r="O46" i="34" s="1"/>
  <c r="P13" i="34"/>
  <c r="P46" i="34" s="1"/>
  <c r="O14" i="34"/>
  <c r="P14" i="34"/>
  <c r="N23" i="34"/>
  <c r="N37" i="34" s="1"/>
  <c r="M23" i="34"/>
  <c r="M37" i="34" s="1"/>
  <c r="N22" i="34"/>
  <c r="M22" i="34"/>
  <c r="N21" i="34"/>
  <c r="M21" i="34"/>
  <c r="N20" i="34"/>
  <c r="M20" i="34"/>
  <c r="N15" i="34"/>
  <c r="M15" i="34"/>
  <c r="N16" i="34"/>
  <c r="M16" i="34"/>
  <c r="N11" i="34"/>
  <c r="M11" i="34"/>
  <c r="N10" i="34"/>
  <c r="M10" i="34"/>
  <c r="N9" i="34"/>
  <c r="M9" i="34"/>
  <c r="N19" i="34"/>
  <c r="M19" i="34"/>
  <c r="N18" i="34"/>
  <c r="M18" i="34"/>
  <c r="N12" i="34"/>
  <c r="M12" i="34"/>
  <c r="N8" i="34"/>
  <c r="M8" i="34"/>
  <c r="M7" i="34" s="1"/>
  <c r="N6" i="34"/>
  <c r="N27" i="34" s="1"/>
  <c r="M6" i="34"/>
  <c r="M27" i="34" s="1"/>
  <c r="N13" i="34"/>
  <c r="N46" i="34" s="1"/>
  <c r="M13" i="34"/>
  <c r="M46" i="34" s="1"/>
  <c r="N14" i="34"/>
  <c r="M14" i="34"/>
  <c r="L13" i="34"/>
  <c r="L46" i="34" s="1"/>
  <c r="K13" i="34"/>
  <c r="K46" i="34" s="1"/>
  <c r="K14" i="34"/>
  <c r="L21" i="34"/>
  <c r="K21" i="34"/>
  <c r="L20" i="34"/>
  <c r="K20" i="34"/>
  <c r="L22" i="34"/>
  <c r="K22" i="34"/>
  <c r="L23" i="34"/>
  <c r="K23" i="34"/>
  <c r="L19" i="34"/>
  <c r="K19" i="34"/>
  <c r="L15" i="34"/>
  <c r="K15" i="34"/>
  <c r="L18" i="34"/>
  <c r="K18" i="34"/>
  <c r="L16" i="34"/>
  <c r="K16" i="34"/>
  <c r="L11" i="34"/>
  <c r="K11" i="34"/>
  <c r="L10" i="34"/>
  <c r="K10" i="34"/>
  <c r="L9" i="34"/>
  <c r="L14" i="34"/>
  <c r="J13" i="34"/>
  <c r="J46" i="34" s="1"/>
  <c r="I13" i="34"/>
  <c r="I46" i="34" s="1"/>
  <c r="J11" i="34"/>
  <c r="I11" i="34"/>
  <c r="J8" i="34"/>
  <c r="I8" i="34"/>
  <c r="I7" i="34" s="1"/>
  <c r="J9" i="34"/>
  <c r="I9" i="34"/>
  <c r="J10" i="34"/>
  <c r="I10" i="34"/>
  <c r="J6" i="34"/>
  <c r="I6" i="34"/>
  <c r="J22" i="34"/>
  <c r="I22" i="34"/>
  <c r="J21" i="34"/>
  <c r="I21" i="34"/>
  <c r="J20" i="34"/>
  <c r="I20" i="34"/>
  <c r="I23" i="34"/>
  <c r="J23" i="34"/>
  <c r="J19" i="34"/>
  <c r="I19" i="34"/>
  <c r="J16" i="34"/>
  <c r="I16" i="34"/>
  <c r="J18" i="34"/>
  <c r="I18" i="34"/>
  <c r="J15" i="34"/>
  <c r="I15" i="34"/>
  <c r="J14" i="34"/>
  <c r="J43" i="34" s="1"/>
  <c r="I14" i="34"/>
  <c r="I43" i="34" s="1"/>
  <c r="X29" i="10"/>
  <c r="W29" i="10"/>
  <c r="V29" i="10"/>
  <c r="U15" i="10"/>
  <c r="U29" i="10" s="1"/>
  <c r="T15" i="10"/>
  <c r="T29" i="10" s="1"/>
  <c r="S15" i="10"/>
  <c r="S29" i="10" s="1"/>
  <c r="R15" i="10"/>
  <c r="R29" i="10" s="1"/>
  <c r="Q15" i="10"/>
  <c r="Q29" i="10" s="1"/>
  <c r="P15" i="10"/>
  <c r="P29" i="10" s="1"/>
  <c r="O15" i="10"/>
  <c r="O29" i="10" s="1"/>
  <c r="X46" i="10"/>
  <c r="U9" i="10"/>
  <c r="V9" i="10"/>
  <c r="S9" i="10"/>
  <c r="T9" i="10"/>
  <c r="N9" i="10"/>
  <c r="M9" i="10"/>
  <c r="O9" i="10"/>
  <c r="N7" i="10"/>
  <c r="M7" i="10"/>
  <c r="N15" i="10"/>
  <c r="N29" i="10" s="1"/>
  <c r="M15" i="10"/>
  <c r="M29" i="10" s="1"/>
  <c r="L7" i="10"/>
  <c r="K7" i="10"/>
  <c r="L15" i="10"/>
  <c r="L29" i="10" s="1"/>
  <c r="K15" i="10"/>
  <c r="K9" i="10"/>
  <c r="L9" i="10"/>
  <c r="K14" i="10"/>
  <c r="K43" i="10" s="1"/>
  <c r="J15" i="10"/>
  <c r="J29" i="10" s="1"/>
  <c r="I15" i="10"/>
  <c r="I29" i="10" s="1"/>
  <c r="H6" i="10"/>
  <c r="H27" i="10" s="1"/>
  <c r="G6" i="10"/>
  <c r="G27" i="10" s="1"/>
  <c r="J9" i="10"/>
  <c r="I9" i="10"/>
  <c r="I12" i="10"/>
  <c r="H15" i="10"/>
  <c r="G15" i="10"/>
  <c r="H22" i="10"/>
  <c r="G22" i="10"/>
  <c r="H21" i="10"/>
  <c r="G21" i="10"/>
  <c r="H20" i="10"/>
  <c r="G20" i="10"/>
  <c r="H16" i="10"/>
  <c r="G16" i="10"/>
  <c r="H23" i="10"/>
  <c r="H37" i="10" s="1"/>
  <c r="G23" i="10"/>
  <c r="G37" i="10" s="1"/>
  <c r="H19" i="10"/>
  <c r="G19" i="10"/>
  <c r="H18" i="10"/>
  <c r="G18" i="10"/>
  <c r="H14" i="10"/>
  <c r="G14" i="10"/>
  <c r="H12" i="10"/>
  <c r="G12" i="10"/>
  <c r="H11" i="10"/>
  <c r="H34" i="10" s="1"/>
  <c r="G11" i="10"/>
  <c r="G34" i="10" s="1"/>
  <c r="H9" i="10"/>
  <c r="G9" i="10"/>
  <c r="H8" i="10"/>
  <c r="H7" i="10" s="1"/>
  <c r="G8" i="10"/>
  <c r="G7" i="10" s="1"/>
  <c r="F14" i="10"/>
  <c r="F22" i="10"/>
  <c r="E22" i="10"/>
  <c r="F21" i="10"/>
  <c r="E21" i="10"/>
  <c r="F20" i="10"/>
  <c r="E20" i="10"/>
  <c r="F19" i="10"/>
  <c r="E19" i="10"/>
  <c r="E43" i="10" s="1"/>
  <c r="F15" i="10"/>
  <c r="E15" i="10"/>
  <c r="F18" i="10"/>
  <c r="E18" i="10"/>
  <c r="F16" i="10"/>
  <c r="E16" i="10"/>
  <c r="F23" i="10"/>
  <c r="F38" i="10" s="1"/>
  <c r="E23" i="10"/>
  <c r="U23" i="36"/>
  <c r="U37" i="36" s="1"/>
  <c r="U20" i="36"/>
  <c r="V19" i="36"/>
  <c r="U19" i="36"/>
  <c r="U15" i="36"/>
  <c r="V6" i="36"/>
  <c r="U6" i="36"/>
  <c r="U27" i="36" s="1"/>
  <c r="V46" i="36"/>
  <c r="U46" i="36"/>
  <c r="S22" i="36"/>
  <c r="S21" i="36"/>
  <c r="T37" i="36"/>
  <c r="S23" i="36"/>
  <c r="S37" i="36" s="1"/>
  <c r="T20" i="36"/>
  <c r="S20" i="36"/>
  <c r="T19" i="36"/>
  <c r="S19" i="36"/>
  <c r="S18" i="36"/>
  <c r="S16" i="36"/>
  <c r="T15" i="36"/>
  <c r="S15" i="36"/>
  <c r="S10" i="36"/>
  <c r="S12" i="36"/>
  <c r="S11" i="36"/>
  <c r="S8" i="36"/>
  <c r="T6" i="36"/>
  <c r="T27" i="36" s="1"/>
  <c r="S6" i="36"/>
  <c r="S27" i="36" s="1"/>
  <c r="T46" i="36"/>
  <c r="S13" i="36"/>
  <c r="S46" i="36" s="1"/>
  <c r="S14" i="36"/>
  <c r="Q23" i="36"/>
  <c r="Q37" i="36" s="1"/>
  <c r="R23" i="36"/>
  <c r="R37" i="36" s="1"/>
  <c r="R22" i="36"/>
  <c r="Q22" i="36"/>
  <c r="R21" i="36"/>
  <c r="Q21" i="36"/>
  <c r="R20" i="36"/>
  <c r="Q20" i="36"/>
  <c r="R19" i="36"/>
  <c r="Q19" i="36"/>
  <c r="R15" i="36"/>
  <c r="Q15" i="36"/>
  <c r="Q18" i="36"/>
  <c r="R18" i="36"/>
  <c r="R45" i="36" s="1"/>
  <c r="R13" i="36"/>
  <c r="R46" i="36" s="1"/>
  <c r="Q13" i="36"/>
  <c r="Q46" i="36" s="1"/>
  <c r="R14" i="36"/>
  <c r="R43" i="36" s="1"/>
  <c r="Q14" i="36"/>
  <c r="Q43" i="36" s="1"/>
  <c r="R12" i="36"/>
  <c r="Q12" i="36"/>
  <c r="R11" i="36"/>
  <c r="Q11" i="36"/>
  <c r="R10" i="36"/>
  <c r="Q10" i="36"/>
  <c r="R8" i="36"/>
  <c r="R7" i="36" s="1"/>
  <c r="Q8" i="36"/>
  <c r="R6" i="36"/>
  <c r="R27" i="36" s="1"/>
  <c r="Q6" i="36"/>
  <c r="Q27" i="36" s="1"/>
  <c r="P22" i="36"/>
  <c r="O22" i="36"/>
  <c r="P21" i="36"/>
  <c r="O21" i="36"/>
  <c r="P20" i="36"/>
  <c r="O20" i="36"/>
  <c r="P15" i="36"/>
  <c r="O15" i="36"/>
  <c r="P23" i="36"/>
  <c r="P37" i="36" s="1"/>
  <c r="O23" i="36"/>
  <c r="O37" i="36" s="1"/>
  <c r="P16" i="36"/>
  <c r="O16" i="36"/>
  <c r="P18" i="36"/>
  <c r="O18" i="36"/>
  <c r="P19" i="36"/>
  <c r="O19" i="36"/>
  <c r="P12" i="36"/>
  <c r="O12" i="36"/>
  <c r="P11" i="36"/>
  <c r="O11" i="36"/>
  <c r="P10" i="36"/>
  <c r="O10" i="36"/>
  <c r="P8" i="36"/>
  <c r="P7" i="36" s="1"/>
  <c r="O8" i="36"/>
  <c r="O7" i="36" s="1"/>
  <c r="P6" i="36"/>
  <c r="P27" i="36" s="1"/>
  <c r="O6" i="36"/>
  <c r="O27" i="36" s="1"/>
  <c r="P13" i="36"/>
  <c r="P46" i="36" s="1"/>
  <c r="O13" i="36"/>
  <c r="O46" i="36" s="1"/>
  <c r="P14" i="36"/>
  <c r="O14" i="36"/>
  <c r="O43" i="36" s="1"/>
  <c r="N22" i="36"/>
  <c r="M22" i="36"/>
  <c r="N21" i="36"/>
  <c r="M21" i="36"/>
  <c r="N20" i="36"/>
  <c r="M20" i="36"/>
  <c r="N19" i="36"/>
  <c r="M19" i="36"/>
  <c r="N15" i="36"/>
  <c r="M15" i="36"/>
  <c r="N23" i="36"/>
  <c r="N37" i="36" s="1"/>
  <c r="M23" i="36"/>
  <c r="M37" i="36" s="1"/>
  <c r="N18" i="36"/>
  <c r="N45" i="36" s="1"/>
  <c r="M18" i="36"/>
  <c r="N12" i="36"/>
  <c r="M12" i="36"/>
  <c r="M11" i="36"/>
  <c r="N11" i="36"/>
  <c r="N10" i="36"/>
  <c r="M10" i="36"/>
  <c r="N8" i="36"/>
  <c r="N7" i="36" s="1"/>
  <c r="M8" i="36"/>
  <c r="M7" i="36" s="1"/>
  <c r="N6" i="36"/>
  <c r="N27" i="36" s="1"/>
  <c r="E6" i="36"/>
  <c r="E27" i="36" s="1"/>
  <c r="F6" i="36"/>
  <c r="F27" i="36" s="1"/>
  <c r="H6" i="36"/>
  <c r="H27" i="36" s="1"/>
  <c r="G6" i="36"/>
  <c r="G27" i="36" s="1"/>
  <c r="K6" i="36"/>
  <c r="K27" i="36" s="1"/>
  <c r="J6" i="36"/>
  <c r="J27" i="36" s="1"/>
  <c r="M6" i="36"/>
  <c r="M27" i="36" s="1"/>
  <c r="N14" i="36"/>
  <c r="M14" i="36"/>
  <c r="M43" i="36" s="1"/>
  <c r="L15" i="36"/>
  <c r="K15" i="36"/>
  <c r="L22" i="36"/>
  <c r="K22" i="36"/>
  <c r="L21" i="36"/>
  <c r="K21" i="36"/>
  <c r="L20" i="36"/>
  <c r="K20" i="36"/>
  <c r="L19" i="36"/>
  <c r="K19" i="36"/>
  <c r="L18" i="36"/>
  <c r="K18" i="36"/>
  <c r="L23" i="36"/>
  <c r="L37" i="36" s="1"/>
  <c r="K23" i="36"/>
  <c r="K37" i="36" s="1"/>
  <c r="L16" i="36"/>
  <c r="K16" i="36"/>
  <c r="L11" i="36"/>
  <c r="K11" i="36"/>
  <c r="L8" i="36"/>
  <c r="K8" i="36"/>
  <c r="K7" i="36" s="1"/>
  <c r="L10" i="36"/>
  <c r="K10" i="36"/>
  <c r="L6" i="36"/>
  <c r="L27" i="36" s="1"/>
  <c r="L12" i="36"/>
  <c r="K12" i="36"/>
  <c r="L14" i="36"/>
  <c r="K14" i="36"/>
  <c r="J10" i="36"/>
  <c r="I10" i="36"/>
  <c r="J22" i="36"/>
  <c r="I22" i="36"/>
  <c r="J21" i="36"/>
  <c r="I21" i="36"/>
  <c r="J20" i="36"/>
  <c r="I20" i="36"/>
  <c r="J19" i="36"/>
  <c r="I19" i="36"/>
  <c r="J18" i="36"/>
  <c r="I18" i="36"/>
  <c r="J15" i="36"/>
  <c r="I15" i="36"/>
  <c r="J16" i="36"/>
  <c r="I16" i="36"/>
  <c r="J23" i="36"/>
  <c r="J37" i="36" s="1"/>
  <c r="I23" i="36"/>
  <c r="I37" i="36" s="1"/>
  <c r="J12" i="36"/>
  <c r="I12" i="36"/>
  <c r="J11" i="36"/>
  <c r="I11" i="36"/>
  <c r="J8" i="36"/>
  <c r="J7" i="36" s="1"/>
  <c r="I8" i="36"/>
  <c r="I7" i="36" s="1"/>
  <c r="I6" i="36"/>
  <c r="I27" i="36" s="1"/>
  <c r="J14" i="36"/>
  <c r="I14" i="36"/>
  <c r="H22" i="36"/>
  <c r="G22" i="36"/>
  <c r="H21" i="36"/>
  <c r="G21" i="36"/>
  <c r="H20" i="36"/>
  <c r="G20" i="36"/>
  <c r="H19" i="36"/>
  <c r="G19" i="36"/>
  <c r="H18" i="36"/>
  <c r="G18" i="36"/>
  <c r="H23" i="36"/>
  <c r="H37" i="36" s="1"/>
  <c r="G23" i="36"/>
  <c r="G37" i="36" s="1"/>
  <c r="H16" i="36"/>
  <c r="G16" i="36"/>
  <c r="H15" i="36"/>
  <c r="G15" i="36"/>
  <c r="H12" i="36"/>
  <c r="G12" i="36"/>
  <c r="H11" i="36"/>
  <c r="G11" i="36"/>
  <c r="F11" i="36"/>
  <c r="E11" i="36"/>
  <c r="E10" i="36"/>
  <c r="F10" i="36"/>
  <c r="H10" i="36"/>
  <c r="G10" i="36"/>
  <c r="H8" i="36"/>
  <c r="H7" i="36" s="1"/>
  <c r="G8" i="36"/>
  <c r="G13" i="36"/>
  <c r="G46" i="36" s="1"/>
  <c r="H14" i="36"/>
  <c r="G14" i="36"/>
  <c r="G43" i="36" s="1"/>
  <c r="F20" i="36"/>
  <c r="F19" i="36"/>
  <c r="E19" i="36"/>
  <c r="E20" i="36"/>
  <c r="F22" i="36"/>
  <c r="E22" i="36"/>
  <c r="F21" i="36"/>
  <c r="E21" i="36"/>
  <c r="E16" i="36"/>
  <c r="F16" i="36"/>
  <c r="F18" i="36"/>
  <c r="E18" i="36"/>
  <c r="F23" i="36"/>
  <c r="F37" i="36" s="1"/>
  <c r="E23" i="36"/>
  <c r="E37" i="36" s="1"/>
  <c r="F15" i="36"/>
  <c r="E15" i="36"/>
  <c r="E29" i="36" s="1"/>
  <c r="F14" i="36"/>
  <c r="E14" i="36"/>
  <c r="F12" i="36"/>
  <c r="E12" i="36"/>
  <c r="F9" i="36"/>
  <c r="E9" i="36"/>
  <c r="E7" i="36"/>
  <c r="F8" i="36"/>
  <c r="F7" i="36" s="1"/>
  <c r="E8" i="36"/>
  <c r="L43" i="34" l="1"/>
  <c r="U44" i="22"/>
  <c r="N44" i="22"/>
  <c r="G9" i="36"/>
  <c r="G34" i="36"/>
  <c r="P43" i="36"/>
  <c r="P45" i="34"/>
  <c r="F34" i="36"/>
  <c r="K45" i="34"/>
  <c r="Q29" i="36"/>
  <c r="M34" i="36"/>
  <c r="K29" i="34"/>
  <c r="N43" i="34"/>
  <c r="H34" i="36"/>
  <c r="I34" i="34"/>
  <c r="O34" i="36"/>
  <c r="U34" i="36"/>
  <c r="H45" i="10"/>
  <c r="L34" i="34"/>
  <c r="O29" i="34"/>
  <c r="O30" i="34" s="1"/>
  <c r="U45" i="36"/>
  <c r="G45" i="10"/>
  <c r="Y30" i="34"/>
  <c r="Y31" i="34" s="1"/>
  <c r="H43" i="36"/>
  <c r="K43" i="36"/>
  <c r="T43" i="36"/>
  <c r="T34" i="36"/>
  <c r="F45" i="10"/>
  <c r="F43" i="10"/>
  <c r="L45" i="34"/>
  <c r="M43" i="34"/>
  <c r="R29" i="36"/>
  <c r="L44" i="22"/>
  <c r="I45" i="36"/>
  <c r="F43" i="36"/>
  <c r="I43" i="36"/>
  <c r="O45" i="36"/>
  <c r="T29" i="34"/>
  <c r="V34" i="34"/>
  <c r="H9" i="36"/>
  <c r="H29" i="36"/>
  <c r="J43" i="36"/>
  <c r="Q34" i="36"/>
  <c r="S45" i="36"/>
  <c r="I45" i="34"/>
  <c r="M45" i="36"/>
  <c r="R34" i="36"/>
  <c r="P34" i="34"/>
  <c r="E43" i="36"/>
  <c r="L43" i="36"/>
  <c r="Q7" i="36"/>
  <c r="S29" i="36"/>
  <c r="R43" i="34"/>
  <c r="Q34" i="34"/>
  <c r="Q45" i="34"/>
  <c r="T45" i="34"/>
  <c r="V45" i="34"/>
  <c r="V44" i="22"/>
  <c r="I34" i="36"/>
  <c r="I29" i="36"/>
  <c r="N34" i="36"/>
  <c r="V43" i="36"/>
  <c r="H43" i="10"/>
  <c r="R34" i="34"/>
  <c r="R45" i="34"/>
  <c r="S29" i="34"/>
  <c r="U34" i="34"/>
  <c r="O44" i="22"/>
  <c r="Q28" i="34"/>
  <c r="Q32" i="34"/>
  <c r="M32" i="36"/>
  <c r="M28" i="36"/>
  <c r="J28" i="36"/>
  <c r="J32" i="36"/>
  <c r="P28" i="34"/>
  <c r="P32" i="34"/>
  <c r="N32" i="36"/>
  <c r="N28" i="36"/>
  <c r="G32" i="10"/>
  <c r="G28" i="10"/>
  <c r="I32" i="34"/>
  <c r="I28" i="34"/>
  <c r="H32" i="10"/>
  <c r="H28" i="10"/>
  <c r="F32" i="36"/>
  <c r="F28" i="36"/>
  <c r="P32" i="36"/>
  <c r="P28" i="36"/>
  <c r="I32" i="36"/>
  <c r="I28" i="36"/>
  <c r="I40" i="36"/>
  <c r="I41" i="36"/>
  <c r="I42" i="36"/>
  <c r="R35" i="36"/>
  <c r="R39" i="36"/>
  <c r="R36" i="36"/>
  <c r="J30" i="10"/>
  <c r="J31" i="10" s="1"/>
  <c r="J44" i="10"/>
  <c r="N33" i="34"/>
  <c r="N38" i="34"/>
  <c r="F29" i="36"/>
  <c r="E34" i="36"/>
  <c r="G45" i="36"/>
  <c r="J40" i="36"/>
  <c r="J41" i="36"/>
  <c r="J42" i="36"/>
  <c r="L7" i="36"/>
  <c r="K45" i="36"/>
  <c r="M42" i="36"/>
  <c r="M40" i="36"/>
  <c r="M41" i="36"/>
  <c r="T33" i="36"/>
  <c r="T38" i="36"/>
  <c r="T45" i="36"/>
  <c r="E45" i="10"/>
  <c r="H42" i="10"/>
  <c r="H41" i="10"/>
  <c r="H40" i="10"/>
  <c r="N30" i="10"/>
  <c r="N31" i="10" s="1"/>
  <c r="N44" i="10"/>
  <c r="R30" i="10"/>
  <c r="R31" i="10" s="1"/>
  <c r="R44" i="10"/>
  <c r="J38" i="34"/>
  <c r="J33" i="34"/>
  <c r="M39" i="34"/>
  <c r="M35" i="34"/>
  <c r="M36" i="34"/>
  <c r="M29" i="34"/>
  <c r="O33" i="34"/>
  <c r="O38" i="34"/>
  <c r="O39" i="34"/>
  <c r="O35" i="34"/>
  <c r="O36" i="34"/>
  <c r="O40" i="34"/>
  <c r="O42" i="34"/>
  <c r="O41" i="34"/>
  <c r="R38" i="34"/>
  <c r="R33" i="34"/>
  <c r="T39" i="34"/>
  <c r="T35" i="34"/>
  <c r="T36" i="34"/>
  <c r="S30" i="34"/>
  <c r="S31" i="34" s="1"/>
  <c r="S44" i="34"/>
  <c r="U33" i="34"/>
  <c r="U38" i="34"/>
  <c r="K41" i="22"/>
  <c r="K42" i="22"/>
  <c r="K40" i="22"/>
  <c r="U29" i="34"/>
  <c r="K44" i="22"/>
  <c r="J44" i="22"/>
  <c r="E44" i="36"/>
  <c r="E30" i="36"/>
  <c r="E31" i="36" s="1"/>
  <c r="V32" i="34"/>
  <c r="V28" i="34"/>
  <c r="O32" i="36"/>
  <c r="O28" i="36"/>
  <c r="S33" i="36"/>
  <c r="S38" i="36"/>
  <c r="U38" i="36"/>
  <c r="U33" i="36"/>
  <c r="M32" i="10"/>
  <c r="M28" i="10"/>
  <c r="S30" i="10"/>
  <c r="S31" i="10" s="1"/>
  <c r="S44" i="10"/>
  <c r="I29" i="34"/>
  <c r="J37" i="34"/>
  <c r="J39" i="34"/>
  <c r="I27" i="34"/>
  <c r="I35" i="34"/>
  <c r="K44" i="34"/>
  <c r="K30" i="34"/>
  <c r="K31" i="34" s="1"/>
  <c r="K41" i="34"/>
  <c r="K40" i="34"/>
  <c r="K42" i="34"/>
  <c r="N39" i="34"/>
  <c r="N35" i="34"/>
  <c r="N36" i="34"/>
  <c r="N29" i="34"/>
  <c r="P33" i="34"/>
  <c r="P38" i="34"/>
  <c r="P39" i="34"/>
  <c r="P35" i="34"/>
  <c r="P36" i="34"/>
  <c r="P40" i="34"/>
  <c r="P42" i="34"/>
  <c r="P41" i="34"/>
  <c r="P30" i="34"/>
  <c r="P31" i="34" s="1"/>
  <c r="P44" i="34"/>
  <c r="T44" i="34"/>
  <c r="T30" i="34"/>
  <c r="T31" i="34" s="1"/>
  <c r="V33" i="34"/>
  <c r="V38" i="34"/>
  <c r="L41" i="22"/>
  <c r="L40" i="22"/>
  <c r="L42" i="22"/>
  <c r="AB30" i="34"/>
  <c r="AB31" i="34" s="1"/>
  <c r="AB44" i="34"/>
  <c r="Z44" i="34"/>
  <c r="M44" i="10"/>
  <c r="M30" i="10"/>
  <c r="M31" i="10" s="1"/>
  <c r="S35" i="34"/>
  <c r="S39" i="34"/>
  <c r="S36" i="34"/>
  <c r="T44" i="22"/>
  <c r="K39" i="36"/>
  <c r="K35" i="36"/>
  <c r="K36" i="36"/>
  <c r="G33" i="36"/>
  <c r="G38" i="36"/>
  <c r="G29" i="36"/>
  <c r="J34" i="36"/>
  <c r="J29" i="36"/>
  <c r="L39" i="36"/>
  <c r="L35" i="36"/>
  <c r="L36" i="36"/>
  <c r="K34" i="36"/>
  <c r="K29" i="36"/>
  <c r="O29" i="36"/>
  <c r="Q40" i="36"/>
  <c r="Q41" i="36"/>
  <c r="Q42" i="36"/>
  <c r="S43" i="36"/>
  <c r="S7" i="36"/>
  <c r="S44" i="36" s="1"/>
  <c r="U39" i="36"/>
  <c r="U35" i="36"/>
  <c r="U36" i="36"/>
  <c r="N32" i="10"/>
  <c r="N28" i="10"/>
  <c r="T44" i="10"/>
  <c r="T30" i="10"/>
  <c r="T31" i="10" s="1"/>
  <c r="J29" i="34"/>
  <c r="I37" i="34"/>
  <c r="I39" i="34"/>
  <c r="J27" i="34"/>
  <c r="J35" i="34"/>
  <c r="J34" i="34"/>
  <c r="L29" i="34"/>
  <c r="L41" i="34"/>
  <c r="L40" i="34"/>
  <c r="L42" i="34"/>
  <c r="M45" i="34"/>
  <c r="M34" i="34"/>
  <c r="M42" i="34"/>
  <c r="M41" i="34"/>
  <c r="M40" i="34"/>
  <c r="P43" i="34"/>
  <c r="O7" i="34"/>
  <c r="O44" i="34" s="1"/>
  <c r="R7" i="34"/>
  <c r="S38" i="34"/>
  <c r="S37" i="34"/>
  <c r="S41" i="34"/>
  <c r="S40" i="34"/>
  <c r="S42" i="34"/>
  <c r="M41" i="22"/>
  <c r="M40" i="22"/>
  <c r="M42" i="22"/>
  <c r="P35" i="36"/>
  <c r="P39" i="36"/>
  <c r="P36" i="36"/>
  <c r="I35" i="10"/>
  <c r="I39" i="10"/>
  <c r="I36" i="10"/>
  <c r="K32" i="36"/>
  <c r="K28" i="36"/>
  <c r="E42" i="36"/>
  <c r="E40" i="36"/>
  <c r="E41" i="36"/>
  <c r="H44" i="36"/>
  <c r="H30" i="36"/>
  <c r="H31" i="36" s="1"/>
  <c r="I35" i="36"/>
  <c r="I39" i="36"/>
  <c r="I36" i="36"/>
  <c r="L34" i="36"/>
  <c r="L29" i="36"/>
  <c r="P29" i="36"/>
  <c r="R40" i="36"/>
  <c r="R41" i="36"/>
  <c r="R42" i="36"/>
  <c r="S30" i="36"/>
  <c r="S40" i="36"/>
  <c r="S41" i="36"/>
  <c r="S42" i="36"/>
  <c r="U43" i="36"/>
  <c r="U42" i="36"/>
  <c r="U40" i="36"/>
  <c r="U41" i="36"/>
  <c r="G39" i="10"/>
  <c r="G35" i="10"/>
  <c r="G36" i="10"/>
  <c r="K29" i="10"/>
  <c r="U44" i="10"/>
  <c r="U30" i="10"/>
  <c r="U31" i="10" s="1"/>
  <c r="I40" i="34"/>
  <c r="I42" i="34"/>
  <c r="I41" i="34"/>
  <c r="K34" i="34"/>
  <c r="N45" i="34"/>
  <c r="N34" i="34"/>
  <c r="N42" i="34"/>
  <c r="N41" i="34"/>
  <c r="N40" i="34"/>
  <c r="O43" i="34"/>
  <c r="Q43" i="34"/>
  <c r="S43" i="34"/>
  <c r="S32" i="34"/>
  <c r="S33" i="34"/>
  <c r="S27" i="34"/>
  <c r="T38" i="34"/>
  <c r="T37" i="34"/>
  <c r="T41" i="34"/>
  <c r="T40" i="34"/>
  <c r="T42" i="34"/>
  <c r="X44" i="34"/>
  <c r="X30" i="34"/>
  <c r="X31" i="34" s="1"/>
  <c r="E32" i="36"/>
  <c r="E28" i="36"/>
  <c r="L33" i="36"/>
  <c r="L38" i="36"/>
  <c r="N35" i="36"/>
  <c r="N39" i="36"/>
  <c r="N36" i="36"/>
  <c r="P38" i="36"/>
  <c r="P33" i="36"/>
  <c r="Q44" i="10"/>
  <c r="Q30" i="10"/>
  <c r="Q31" i="10" s="1"/>
  <c r="I38" i="34"/>
  <c r="I33" i="34"/>
  <c r="S44" i="22"/>
  <c r="I30" i="36"/>
  <c r="I31" i="36" s="1"/>
  <c r="I44" i="36"/>
  <c r="N42" i="36"/>
  <c r="N41" i="36"/>
  <c r="N40" i="36"/>
  <c r="E45" i="36"/>
  <c r="H38" i="36"/>
  <c r="H33" i="36"/>
  <c r="F35" i="36"/>
  <c r="F39" i="36"/>
  <c r="F36" i="36"/>
  <c r="F45" i="36"/>
  <c r="G35" i="36"/>
  <c r="G39" i="36"/>
  <c r="G36" i="36"/>
  <c r="G41" i="36"/>
  <c r="G42" i="36"/>
  <c r="G40" i="36"/>
  <c r="J35" i="36"/>
  <c r="J39" i="36"/>
  <c r="J36" i="36"/>
  <c r="J45" i="36"/>
  <c r="K40" i="36"/>
  <c r="K41" i="36"/>
  <c r="K42" i="36"/>
  <c r="M29" i="36"/>
  <c r="O41" i="36"/>
  <c r="O42" i="36"/>
  <c r="O40" i="36"/>
  <c r="Q38" i="36"/>
  <c r="Q33" i="36"/>
  <c r="S34" i="36"/>
  <c r="T29" i="36"/>
  <c r="T40" i="36"/>
  <c r="T42" i="36"/>
  <c r="T41" i="36"/>
  <c r="V42" i="36"/>
  <c r="V41" i="36"/>
  <c r="H39" i="10"/>
  <c r="H35" i="10"/>
  <c r="H36" i="10"/>
  <c r="L44" i="10"/>
  <c r="L30" i="10"/>
  <c r="L31" i="10" s="1"/>
  <c r="V30" i="10"/>
  <c r="V31" i="10" s="1"/>
  <c r="V44" i="10"/>
  <c r="J45" i="34"/>
  <c r="J41" i="34"/>
  <c r="J40" i="34"/>
  <c r="J42" i="34"/>
  <c r="J7" i="34"/>
  <c r="M32" i="34"/>
  <c r="M28" i="34"/>
  <c r="T43" i="34"/>
  <c r="T27" i="34"/>
  <c r="T32" i="34"/>
  <c r="T33" i="34"/>
  <c r="U39" i="34"/>
  <c r="U35" i="34"/>
  <c r="U36" i="34"/>
  <c r="V29" i="34"/>
  <c r="Q44" i="22"/>
  <c r="R30" i="36"/>
  <c r="R31" i="36" s="1"/>
  <c r="R44" i="36"/>
  <c r="F41" i="10"/>
  <c r="F42" i="10"/>
  <c r="R39" i="34"/>
  <c r="R35" i="34"/>
  <c r="R36" i="34"/>
  <c r="H45" i="36"/>
  <c r="L45" i="36"/>
  <c r="E39" i="36"/>
  <c r="E35" i="36"/>
  <c r="E36" i="36"/>
  <c r="E38" i="36"/>
  <c r="E33" i="36"/>
  <c r="H35" i="36"/>
  <c r="H39" i="36"/>
  <c r="H36" i="36"/>
  <c r="H41" i="36"/>
  <c r="H42" i="36"/>
  <c r="H40" i="36"/>
  <c r="I38" i="36"/>
  <c r="I33" i="36"/>
  <c r="L40" i="36"/>
  <c r="L42" i="36"/>
  <c r="L41" i="36"/>
  <c r="N43" i="36"/>
  <c r="N29" i="36"/>
  <c r="P34" i="36"/>
  <c r="P45" i="36"/>
  <c r="P41" i="36"/>
  <c r="P42" i="36"/>
  <c r="P40" i="36"/>
  <c r="R33" i="36"/>
  <c r="R38" i="36"/>
  <c r="Q45" i="36"/>
  <c r="U29" i="36"/>
  <c r="G38" i="10"/>
  <c r="G33" i="10"/>
  <c r="G43" i="10"/>
  <c r="G29" i="10"/>
  <c r="K32" i="10"/>
  <c r="K28" i="10"/>
  <c r="O44" i="10"/>
  <c r="O30" i="10"/>
  <c r="O31" i="10" s="1"/>
  <c r="W44" i="10"/>
  <c r="W30" i="10"/>
  <c r="W31" i="10" s="1"/>
  <c r="K37" i="34"/>
  <c r="K39" i="34"/>
  <c r="K38" i="34"/>
  <c r="K43" i="34"/>
  <c r="N7" i="34"/>
  <c r="Q29" i="34"/>
  <c r="Q40" i="34"/>
  <c r="Q42" i="34"/>
  <c r="Q41" i="34"/>
  <c r="S34" i="34"/>
  <c r="V35" i="34"/>
  <c r="V39" i="34"/>
  <c r="V36" i="34"/>
  <c r="H32" i="36"/>
  <c r="H28" i="36"/>
  <c r="N38" i="36"/>
  <c r="N33" i="36"/>
  <c r="Q32" i="36"/>
  <c r="Q28" i="36"/>
  <c r="T39" i="36"/>
  <c r="T35" i="36"/>
  <c r="T36" i="36"/>
  <c r="G42" i="10"/>
  <c r="G41" i="10"/>
  <c r="G40" i="10"/>
  <c r="Q38" i="34"/>
  <c r="Q33" i="34"/>
  <c r="I44" i="22"/>
  <c r="F38" i="36"/>
  <c r="F33" i="36"/>
  <c r="F42" i="36"/>
  <c r="F41" i="36"/>
  <c r="F40" i="36"/>
  <c r="G7" i="36"/>
  <c r="J33" i="36"/>
  <c r="J38" i="36"/>
  <c r="K33" i="36"/>
  <c r="K38" i="36"/>
  <c r="M38" i="36"/>
  <c r="M33" i="36"/>
  <c r="M39" i="36"/>
  <c r="M35" i="36"/>
  <c r="M36" i="36"/>
  <c r="O38" i="36"/>
  <c r="O33" i="36"/>
  <c r="O35" i="36"/>
  <c r="O39" i="36"/>
  <c r="O36" i="36"/>
  <c r="R28" i="36"/>
  <c r="R32" i="36"/>
  <c r="Q35" i="36"/>
  <c r="Q39" i="36"/>
  <c r="Q36" i="36"/>
  <c r="Q30" i="36"/>
  <c r="Q31" i="36" s="1"/>
  <c r="Q44" i="36"/>
  <c r="S39" i="36"/>
  <c r="S35" i="36"/>
  <c r="S36" i="36"/>
  <c r="E41" i="10"/>
  <c r="E42" i="10"/>
  <c r="H33" i="10"/>
  <c r="H38" i="10"/>
  <c r="H29" i="10"/>
  <c r="I30" i="10"/>
  <c r="I31" i="10" s="1"/>
  <c r="I44" i="10"/>
  <c r="L32" i="10"/>
  <c r="L28" i="10"/>
  <c r="P30" i="10"/>
  <c r="P31" i="10" s="1"/>
  <c r="P44" i="10"/>
  <c r="X30" i="10"/>
  <c r="X31" i="10" s="1"/>
  <c r="X44" i="10"/>
  <c r="L37" i="34"/>
  <c r="L38" i="34"/>
  <c r="L39" i="34"/>
  <c r="M33" i="34"/>
  <c r="M38" i="34"/>
  <c r="O34" i="34"/>
  <c r="Q39" i="34"/>
  <c r="Q35" i="34"/>
  <c r="Q36" i="34"/>
  <c r="R29" i="34"/>
  <c r="R41" i="34"/>
  <c r="R40" i="34"/>
  <c r="R42" i="34"/>
  <c r="T34" i="34"/>
  <c r="S45" i="34"/>
  <c r="U32" i="34"/>
  <c r="U28" i="34"/>
  <c r="U45" i="34"/>
  <c r="AA44" i="34"/>
  <c r="AA30" i="34"/>
  <c r="AA31" i="34" s="1"/>
  <c r="V34" i="17"/>
  <c r="V27" i="17"/>
  <c r="V37" i="17"/>
  <c r="V42" i="17"/>
  <c r="V19" i="17"/>
  <c r="V43" i="17" s="1"/>
  <c r="S12" i="17"/>
  <c r="S11" i="17"/>
  <c r="S10" i="17"/>
  <c r="S9" i="17" s="1"/>
  <c r="S8" i="17"/>
  <c r="S6" i="17"/>
  <c r="S27" i="17" s="1"/>
  <c r="S21" i="17"/>
  <c r="S19" i="17"/>
  <c r="U19" i="17"/>
  <c r="T19" i="17"/>
  <c r="U37" i="17"/>
  <c r="T37" i="17"/>
  <c r="U27" i="17"/>
  <c r="T27" i="17"/>
  <c r="R12" i="17"/>
  <c r="Q12" i="17"/>
  <c r="R11" i="17"/>
  <c r="Q11" i="17"/>
  <c r="R10" i="17"/>
  <c r="Q10" i="17"/>
  <c r="R8" i="17"/>
  <c r="Q8" i="17"/>
  <c r="R6" i="17"/>
  <c r="R27" i="17" s="1"/>
  <c r="Q6" i="17"/>
  <c r="Q27" i="17" s="1"/>
  <c r="R22" i="17"/>
  <c r="Q22" i="17"/>
  <c r="R21" i="17"/>
  <c r="Q21" i="17"/>
  <c r="R20" i="17"/>
  <c r="Q20" i="17"/>
  <c r="R19" i="17"/>
  <c r="Q19" i="17"/>
  <c r="Q18" i="17"/>
  <c r="Q45" i="17" s="1"/>
  <c r="Q16" i="17"/>
  <c r="R15" i="17"/>
  <c r="Q15" i="17"/>
  <c r="R14" i="17"/>
  <c r="Q14" i="17"/>
  <c r="P11" i="17"/>
  <c r="O11" i="17"/>
  <c r="P10" i="17"/>
  <c r="O10" i="17"/>
  <c r="P12" i="17"/>
  <c r="O12" i="17"/>
  <c r="P8" i="17"/>
  <c r="O8" i="17"/>
  <c r="P6" i="17"/>
  <c r="P27" i="17" s="1"/>
  <c r="O6" i="17"/>
  <c r="O27" i="17" s="1"/>
  <c r="P22" i="17"/>
  <c r="O22" i="17"/>
  <c r="P21" i="17"/>
  <c r="O21" i="17"/>
  <c r="P20" i="17"/>
  <c r="O20" i="17"/>
  <c r="P18" i="17"/>
  <c r="O18" i="17"/>
  <c r="P15" i="17"/>
  <c r="O15" i="17"/>
  <c r="P19" i="17"/>
  <c r="O19" i="17"/>
  <c r="P16" i="17"/>
  <c r="O16" i="17"/>
  <c r="P23" i="17"/>
  <c r="P37" i="17" s="1"/>
  <c r="O23" i="17"/>
  <c r="O37" i="17" s="1"/>
  <c r="P14" i="17"/>
  <c r="O14" i="17"/>
  <c r="N12" i="17"/>
  <c r="M12" i="17"/>
  <c r="N11" i="17"/>
  <c r="M11" i="17"/>
  <c r="N10" i="17"/>
  <c r="M10" i="17"/>
  <c r="N8" i="17"/>
  <c r="M8" i="17"/>
  <c r="N6" i="17"/>
  <c r="N27" i="17" s="1"/>
  <c r="M6" i="17"/>
  <c r="M27" i="17" s="1"/>
  <c r="N16" i="17"/>
  <c r="M16" i="17"/>
  <c r="N22" i="17"/>
  <c r="M22" i="17"/>
  <c r="N21" i="17"/>
  <c r="M21" i="17"/>
  <c r="N15" i="17"/>
  <c r="M15" i="17"/>
  <c r="N20" i="17"/>
  <c r="M20" i="17"/>
  <c r="N18" i="17"/>
  <c r="M18" i="17"/>
  <c r="N19" i="17"/>
  <c r="M19" i="17"/>
  <c r="N23" i="17"/>
  <c r="N37" i="17" s="1"/>
  <c r="M23" i="17"/>
  <c r="M37" i="17" s="1"/>
  <c r="N13" i="17"/>
  <c r="N46" i="17" s="1"/>
  <c r="M13" i="17"/>
  <c r="M46" i="17" s="1"/>
  <c r="M14" i="17"/>
  <c r="N14" i="17"/>
  <c r="L19" i="17"/>
  <c r="K19" i="17"/>
  <c r="L20" i="17"/>
  <c r="K20" i="17"/>
  <c r="L22" i="17"/>
  <c r="K22" i="17"/>
  <c r="L21" i="17"/>
  <c r="K21" i="17"/>
  <c r="L18" i="17"/>
  <c r="K18" i="17"/>
  <c r="L15" i="17"/>
  <c r="K15" i="17"/>
  <c r="L16" i="17"/>
  <c r="K16" i="17"/>
  <c r="L23" i="17"/>
  <c r="L37" i="17" s="1"/>
  <c r="K23" i="17"/>
  <c r="L12" i="17"/>
  <c r="K12" i="17"/>
  <c r="L11" i="17"/>
  <c r="L34" i="17" s="1"/>
  <c r="K11" i="17"/>
  <c r="L6" i="17"/>
  <c r="L27" i="17" s="1"/>
  <c r="K6" i="17"/>
  <c r="L10" i="17"/>
  <c r="K10" i="17"/>
  <c r="L8" i="17"/>
  <c r="K8" i="17"/>
  <c r="K7" i="17" s="1"/>
  <c r="L13" i="17"/>
  <c r="L46" i="17" s="1"/>
  <c r="K13" i="17"/>
  <c r="K46" i="17" s="1"/>
  <c r="L14" i="17"/>
  <c r="K14" i="17"/>
  <c r="J15" i="17"/>
  <c r="J18" i="17"/>
  <c r="J22" i="17"/>
  <c r="J21" i="17"/>
  <c r="J20" i="17"/>
  <c r="J19" i="17"/>
  <c r="J23" i="17"/>
  <c r="J16" i="17"/>
  <c r="J11" i="17"/>
  <c r="J10" i="17"/>
  <c r="J6" i="17"/>
  <c r="J14" i="17"/>
  <c r="I14" i="17"/>
  <c r="H22" i="17"/>
  <c r="H21" i="17"/>
  <c r="H19" i="17"/>
  <c r="H41" i="17" s="1"/>
  <c r="H15" i="17"/>
  <c r="H16" i="17"/>
  <c r="H23" i="17"/>
  <c r="H18" i="17"/>
  <c r="H10" i="17"/>
  <c r="H12" i="17"/>
  <c r="H11" i="17"/>
  <c r="H6" i="17"/>
  <c r="H14" i="17"/>
  <c r="AA21" i="23"/>
  <c r="Z21" i="23"/>
  <c r="Y21" i="23"/>
  <c r="AA20" i="23"/>
  <c r="Z20" i="23"/>
  <c r="Z19" i="23"/>
  <c r="AA19" i="23"/>
  <c r="AA15" i="23"/>
  <c r="Z15" i="23"/>
  <c r="AA11" i="23"/>
  <c r="Z11" i="23"/>
  <c r="AA10" i="23"/>
  <c r="Z10" i="23"/>
  <c r="AA9" i="23"/>
  <c r="Z9" i="23"/>
  <c r="AA8" i="23"/>
  <c r="Z8" i="23"/>
  <c r="Z7" i="23" s="1"/>
  <c r="AA46" i="23"/>
  <c r="Z13" i="23"/>
  <c r="Z46" i="23" s="1"/>
  <c r="Y15" i="23"/>
  <c r="X15" i="23"/>
  <c r="Y20" i="23"/>
  <c r="X20" i="23"/>
  <c r="Y19" i="23"/>
  <c r="X19" i="23"/>
  <c r="X18" i="23"/>
  <c r="X23" i="23"/>
  <c r="X22" i="23"/>
  <c r="X21" i="23"/>
  <c r="X13" i="23"/>
  <c r="X46" i="23" s="1"/>
  <c r="Y13" i="23"/>
  <c r="Y46" i="23" s="1"/>
  <c r="X14" i="23"/>
  <c r="Y12" i="23"/>
  <c r="X12" i="23"/>
  <c r="Y11" i="23"/>
  <c r="X11" i="23"/>
  <c r="Y10" i="23"/>
  <c r="X10" i="23"/>
  <c r="Y9" i="23"/>
  <c r="X9" i="23"/>
  <c r="Y8" i="23"/>
  <c r="Y7" i="23" s="1"/>
  <c r="X8" i="23"/>
  <c r="X7" i="23" s="1"/>
  <c r="W8" i="23"/>
  <c r="W7" i="23" s="1"/>
  <c r="Y6" i="23"/>
  <c r="X6" i="23"/>
  <c r="W19" i="23"/>
  <c r="V19" i="23"/>
  <c r="W23" i="23"/>
  <c r="V23" i="23"/>
  <c r="W22" i="23"/>
  <c r="V22" i="23"/>
  <c r="W21" i="23"/>
  <c r="V21" i="23"/>
  <c r="W20" i="23"/>
  <c r="V20" i="23"/>
  <c r="V41" i="23" s="1"/>
  <c r="W15" i="23"/>
  <c r="V15" i="23"/>
  <c r="W18" i="23"/>
  <c r="V18" i="23"/>
  <c r="W13" i="23"/>
  <c r="W46" i="23" s="1"/>
  <c r="V13" i="23"/>
  <c r="V46" i="23" s="1"/>
  <c r="W14" i="23"/>
  <c r="V14" i="23"/>
  <c r="W12" i="23"/>
  <c r="V12" i="23"/>
  <c r="W11" i="23"/>
  <c r="V11" i="23"/>
  <c r="W10" i="23"/>
  <c r="V10" i="23"/>
  <c r="W9" i="23"/>
  <c r="V9" i="23"/>
  <c r="V8" i="23"/>
  <c r="V7" i="23" s="1"/>
  <c r="W6" i="23"/>
  <c r="V6" i="23"/>
  <c r="U22" i="23"/>
  <c r="T22" i="23"/>
  <c r="U21" i="23"/>
  <c r="T21" i="23"/>
  <c r="U20" i="23"/>
  <c r="T20" i="23"/>
  <c r="U15" i="23"/>
  <c r="T15" i="23"/>
  <c r="U23" i="23"/>
  <c r="T23" i="23"/>
  <c r="U19" i="23"/>
  <c r="T19" i="23"/>
  <c r="U18" i="23"/>
  <c r="T18" i="23"/>
  <c r="T13" i="23"/>
  <c r="T46" i="23" s="1"/>
  <c r="U14" i="23"/>
  <c r="T14" i="23"/>
  <c r="U12" i="23"/>
  <c r="T12" i="23"/>
  <c r="U11" i="23"/>
  <c r="T11" i="23"/>
  <c r="U10" i="23"/>
  <c r="T10" i="23"/>
  <c r="U9" i="23"/>
  <c r="T9" i="23"/>
  <c r="U8" i="23"/>
  <c r="U7" i="23" s="1"/>
  <c r="T8" i="23"/>
  <c r="T7" i="23" s="1"/>
  <c r="U6" i="23"/>
  <c r="T6" i="23"/>
  <c r="S20" i="23"/>
  <c r="R20" i="23"/>
  <c r="S19" i="23"/>
  <c r="R19" i="23"/>
  <c r="S18" i="23"/>
  <c r="R18" i="23"/>
  <c r="S15" i="23"/>
  <c r="R15" i="23"/>
  <c r="S13" i="23"/>
  <c r="S46" i="23" s="1"/>
  <c r="R13" i="23"/>
  <c r="R46" i="23" s="1"/>
  <c r="S14" i="23"/>
  <c r="R14" i="23"/>
  <c r="S12" i="23"/>
  <c r="R12" i="23"/>
  <c r="S11" i="23"/>
  <c r="R11" i="23"/>
  <c r="S10" i="23"/>
  <c r="R10" i="23"/>
  <c r="S9" i="23"/>
  <c r="R9" i="23"/>
  <c r="R8" i="23"/>
  <c r="R7" i="23" s="1"/>
  <c r="S8" i="23"/>
  <c r="S7" i="23" s="1"/>
  <c r="S6" i="23"/>
  <c r="R6" i="23"/>
  <c r="S23" i="23"/>
  <c r="R23" i="23"/>
  <c r="S22" i="23"/>
  <c r="R22" i="23"/>
  <c r="R21" i="23"/>
  <c r="S21" i="23"/>
  <c r="P16" i="23"/>
  <c r="Q20" i="23"/>
  <c r="P20" i="23"/>
  <c r="Q21" i="23"/>
  <c r="P21" i="23"/>
  <c r="P22" i="23"/>
  <c r="Q22" i="23"/>
  <c r="Q23" i="23"/>
  <c r="P23" i="23"/>
  <c r="Q19" i="23"/>
  <c r="P19" i="23"/>
  <c r="Q18" i="23"/>
  <c r="P18" i="23"/>
  <c r="Q15" i="23"/>
  <c r="P15" i="23"/>
  <c r="Q14" i="23"/>
  <c r="P14" i="23"/>
  <c r="Q13" i="23"/>
  <c r="Q46" i="23" s="1"/>
  <c r="P13" i="23"/>
  <c r="P46" i="23" s="1"/>
  <c r="Q12" i="23"/>
  <c r="P12" i="23"/>
  <c r="Q11" i="23"/>
  <c r="P11" i="23"/>
  <c r="Q10" i="23"/>
  <c r="P10" i="23"/>
  <c r="Q9" i="23"/>
  <c r="P9" i="23"/>
  <c r="Q8" i="23"/>
  <c r="Q7" i="23" s="1"/>
  <c r="P8" i="23"/>
  <c r="P7" i="23" s="1"/>
  <c r="P6" i="23"/>
  <c r="Q6" i="23"/>
  <c r="O15" i="23"/>
  <c r="N15" i="23"/>
  <c r="O9" i="23"/>
  <c r="N9" i="23"/>
  <c r="O19" i="23"/>
  <c r="N19" i="23"/>
  <c r="O18" i="23"/>
  <c r="N18" i="23"/>
  <c r="O22" i="23"/>
  <c r="N22" i="23"/>
  <c r="O21" i="23"/>
  <c r="N21" i="23"/>
  <c r="O20" i="23"/>
  <c r="O41" i="23" s="1"/>
  <c r="N20" i="23"/>
  <c r="N41" i="23" s="1"/>
  <c r="O23" i="23"/>
  <c r="N23" i="23"/>
  <c r="O13" i="23"/>
  <c r="O46" i="23" s="1"/>
  <c r="N13" i="23"/>
  <c r="N46" i="23" s="1"/>
  <c r="O12" i="23"/>
  <c r="N12" i="23"/>
  <c r="O11" i="23"/>
  <c r="N11" i="23"/>
  <c r="O10" i="23"/>
  <c r="N10" i="23"/>
  <c r="O8" i="23"/>
  <c r="O7" i="23" s="1"/>
  <c r="N8" i="23"/>
  <c r="N7" i="23" s="1"/>
  <c r="O6" i="23"/>
  <c r="N6" i="23"/>
  <c r="O14" i="23"/>
  <c r="N14" i="23"/>
  <c r="L7" i="23"/>
  <c r="M7" i="23"/>
  <c r="M20" i="23"/>
  <c r="M41" i="23" s="1"/>
  <c r="L20" i="23"/>
  <c r="L41" i="23" s="1"/>
  <c r="M15" i="23"/>
  <c r="L15" i="23"/>
  <c r="M13" i="23"/>
  <c r="M46" i="23" s="1"/>
  <c r="L13" i="23"/>
  <c r="L46" i="23" s="1"/>
  <c r="K7" i="23"/>
  <c r="J7" i="23"/>
  <c r="K13" i="23"/>
  <c r="K46" i="23" s="1"/>
  <c r="J13" i="23"/>
  <c r="J46" i="23" s="1"/>
  <c r="I19" i="23"/>
  <c r="H19" i="23"/>
  <c r="I20" i="23"/>
  <c r="H20" i="23"/>
  <c r="I21" i="23"/>
  <c r="H21" i="23"/>
  <c r="I22" i="23"/>
  <c r="H22" i="23"/>
  <c r="I7" i="23"/>
  <c r="H7" i="23"/>
  <c r="I6" i="23"/>
  <c r="I27" i="23" s="1"/>
  <c r="H6" i="23"/>
  <c r="H27" i="23" s="1"/>
  <c r="I23" i="23"/>
  <c r="I37" i="23" s="1"/>
  <c r="H23" i="23"/>
  <c r="H37" i="23" s="1"/>
  <c r="I18" i="23"/>
  <c r="I45" i="23" s="1"/>
  <c r="H18" i="23"/>
  <c r="I15" i="23"/>
  <c r="H15" i="23"/>
  <c r="I16" i="23"/>
  <c r="H16" i="23"/>
  <c r="I13" i="23"/>
  <c r="I46" i="23" s="1"/>
  <c r="H13" i="23"/>
  <c r="H46" i="23" s="1"/>
  <c r="I12" i="23"/>
  <c r="I11" i="23"/>
  <c r="H11" i="23"/>
  <c r="I14" i="23"/>
  <c r="I43" i="23" s="1"/>
  <c r="H14" i="23"/>
  <c r="I9" i="23"/>
  <c r="H9" i="23"/>
  <c r="H12" i="23"/>
  <c r="I10" i="23"/>
  <c r="H10" i="23"/>
  <c r="I8" i="23"/>
  <c r="H8" i="23"/>
  <c r="M29" i="17" l="1"/>
  <c r="L29" i="17"/>
  <c r="N29" i="17"/>
  <c r="T41" i="23"/>
  <c r="U34" i="17"/>
  <c r="O31" i="34"/>
  <c r="AA41" i="23"/>
  <c r="L45" i="17"/>
  <c r="P9" i="17"/>
  <c r="H43" i="23"/>
  <c r="U45" i="17"/>
  <c r="V29" i="17"/>
  <c r="V44" i="17" s="1"/>
  <c r="T45" i="17"/>
  <c r="M43" i="17"/>
  <c r="S31" i="36"/>
  <c r="K41" i="17"/>
  <c r="Q29" i="17"/>
  <c r="Q30" i="17" s="1"/>
  <c r="Q9" i="17"/>
  <c r="T34" i="17"/>
  <c r="I39" i="23"/>
  <c r="I35" i="23"/>
  <c r="I36" i="23"/>
  <c r="M30" i="17"/>
  <c r="M35" i="17"/>
  <c r="M39" i="17"/>
  <c r="M36" i="17"/>
  <c r="O35" i="17"/>
  <c r="O39" i="17"/>
  <c r="O36" i="17"/>
  <c r="V35" i="17"/>
  <c r="V39" i="17"/>
  <c r="V36" i="17"/>
  <c r="P44" i="36"/>
  <c r="P30" i="36"/>
  <c r="P31" i="36" s="1"/>
  <c r="J30" i="36"/>
  <c r="J31" i="36" s="1"/>
  <c r="J44" i="36"/>
  <c r="L32" i="36"/>
  <c r="L28" i="36"/>
  <c r="H35" i="23"/>
  <c r="H39" i="23"/>
  <c r="H36" i="23"/>
  <c r="L30" i="17"/>
  <c r="P35" i="17"/>
  <c r="P39" i="17"/>
  <c r="P36" i="17"/>
  <c r="L44" i="36"/>
  <c r="L30" i="36"/>
  <c r="L31" i="36" s="1"/>
  <c r="I44" i="34"/>
  <c r="I30" i="34"/>
  <c r="I31" i="34" s="1"/>
  <c r="N30" i="17"/>
  <c r="Q41" i="23"/>
  <c r="Q42" i="23"/>
  <c r="R41" i="23"/>
  <c r="M33" i="17"/>
  <c r="M38" i="17"/>
  <c r="M7" i="17"/>
  <c r="M44" i="17" s="1"/>
  <c r="O43" i="17"/>
  <c r="O29" i="17"/>
  <c r="Q34" i="17"/>
  <c r="U38" i="17"/>
  <c r="U33" i="17"/>
  <c r="T35" i="17"/>
  <c r="T39" i="17"/>
  <c r="T36" i="17"/>
  <c r="T41" i="17"/>
  <c r="T40" i="17"/>
  <c r="S41" i="17"/>
  <c r="S40" i="17"/>
  <c r="S42" i="17"/>
  <c r="S34" i="17"/>
  <c r="U32" i="36"/>
  <c r="U28" i="36"/>
  <c r="V44" i="34"/>
  <c r="V30" i="34"/>
  <c r="V31" i="34" s="1"/>
  <c r="O44" i="36"/>
  <c r="O30" i="36"/>
  <c r="O31" i="36" s="1"/>
  <c r="G44" i="36"/>
  <c r="G30" i="36"/>
  <c r="G31" i="36" s="1"/>
  <c r="M44" i="34"/>
  <c r="M30" i="34"/>
  <c r="M31" i="34" s="1"/>
  <c r="H42" i="23"/>
  <c r="H40" i="23"/>
  <c r="H41" i="23"/>
  <c r="S41" i="23"/>
  <c r="L38" i="17"/>
  <c r="L33" i="17"/>
  <c r="L7" i="17"/>
  <c r="L35" i="17"/>
  <c r="L39" i="17"/>
  <c r="L36" i="17"/>
  <c r="N38" i="17"/>
  <c r="N33" i="17"/>
  <c r="N7" i="17"/>
  <c r="P43" i="17"/>
  <c r="P29" i="17"/>
  <c r="R34" i="17"/>
  <c r="T38" i="17"/>
  <c r="T33" i="17"/>
  <c r="U35" i="17"/>
  <c r="U39" i="17"/>
  <c r="U36" i="17"/>
  <c r="U40" i="17"/>
  <c r="U41" i="17"/>
  <c r="S35" i="17"/>
  <c r="S39" i="17"/>
  <c r="S36" i="17"/>
  <c r="R30" i="34"/>
  <c r="R31" i="34" s="1"/>
  <c r="R44" i="34"/>
  <c r="Q30" i="34"/>
  <c r="Q31" i="34" s="1"/>
  <c r="Q44" i="34"/>
  <c r="U44" i="36"/>
  <c r="U30" i="36"/>
  <c r="U31" i="36" s="1"/>
  <c r="T32" i="36"/>
  <c r="T28" i="36"/>
  <c r="R32" i="34"/>
  <c r="R28" i="34"/>
  <c r="K30" i="36"/>
  <c r="K31" i="36" s="1"/>
  <c r="K44" i="36"/>
  <c r="U44" i="34"/>
  <c r="U30" i="34"/>
  <c r="U31" i="34" s="1"/>
  <c r="J41" i="17"/>
  <c r="N35" i="17"/>
  <c r="N39" i="17"/>
  <c r="N36" i="17"/>
  <c r="I40" i="23"/>
  <c r="I41" i="23"/>
  <c r="I42" i="23"/>
  <c r="Z41" i="23"/>
  <c r="K9" i="17"/>
  <c r="N43" i="17"/>
  <c r="M45" i="17"/>
  <c r="O45" i="17"/>
  <c r="O34" i="17"/>
  <c r="Q35" i="17"/>
  <c r="Q39" i="17"/>
  <c r="Q36" i="17"/>
  <c r="T42" i="17"/>
  <c r="V38" i="17"/>
  <c r="V33" i="17"/>
  <c r="N32" i="34"/>
  <c r="N28" i="34"/>
  <c r="N44" i="36"/>
  <c r="N30" i="36"/>
  <c r="N31" i="36" s="1"/>
  <c r="J32" i="34"/>
  <c r="J28" i="34"/>
  <c r="M44" i="36"/>
  <c r="M30" i="36"/>
  <c r="M31" i="36" s="1"/>
  <c r="O28" i="34"/>
  <c r="O32" i="34"/>
  <c r="J30" i="34"/>
  <c r="J31" i="34" s="1"/>
  <c r="J44" i="34"/>
  <c r="N44" i="34"/>
  <c r="N30" i="34"/>
  <c r="N31" i="34" s="1"/>
  <c r="H32" i="23"/>
  <c r="H28" i="23"/>
  <c r="N45" i="17"/>
  <c r="N9" i="17"/>
  <c r="P45" i="17"/>
  <c r="P34" i="17"/>
  <c r="R35" i="17"/>
  <c r="R39" i="17"/>
  <c r="R36" i="17"/>
  <c r="U42" i="17"/>
  <c r="V45" i="17"/>
  <c r="H30" i="10"/>
  <c r="H31" i="10" s="1"/>
  <c r="H44" i="10"/>
  <c r="T44" i="36"/>
  <c r="T30" i="36"/>
  <c r="T31" i="36" s="1"/>
  <c r="K44" i="10"/>
  <c r="K30" i="10"/>
  <c r="K31" i="10" s="1"/>
  <c r="S28" i="36"/>
  <c r="S32" i="36"/>
  <c r="P41" i="23"/>
  <c r="H38" i="23"/>
  <c r="H33" i="23"/>
  <c r="H29" i="23"/>
  <c r="I33" i="23"/>
  <c r="I38" i="23"/>
  <c r="H34" i="23"/>
  <c r="I29" i="23"/>
  <c r="I32" i="23"/>
  <c r="I28" i="23"/>
  <c r="U41" i="23"/>
  <c r="X41" i="23"/>
  <c r="M41" i="17"/>
  <c r="M40" i="17"/>
  <c r="M42" i="17"/>
  <c r="M34" i="17"/>
  <c r="O40" i="17"/>
  <c r="O42" i="17"/>
  <c r="O41" i="17"/>
  <c r="O33" i="17"/>
  <c r="O38" i="17"/>
  <c r="O7" i="17"/>
  <c r="Q43" i="17"/>
  <c r="Q41" i="17"/>
  <c r="Q40" i="17"/>
  <c r="Q42" i="17"/>
  <c r="Q33" i="17"/>
  <c r="Q38" i="17"/>
  <c r="Q7" i="17"/>
  <c r="V40" i="17"/>
  <c r="V41" i="17"/>
  <c r="G32" i="36"/>
  <c r="G28" i="36"/>
  <c r="L44" i="34"/>
  <c r="L30" i="34"/>
  <c r="L31" i="34" s="1"/>
  <c r="F44" i="36"/>
  <c r="F30" i="36"/>
  <c r="F31" i="36" s="1"/>
  <c r="W41" i="23"/>
  <c r="L40" i="17"/>
  <c r="L42" i="17"/>
  <c r="L41" i="17"/>
  <c r="I34" i="23"/>
  <c r="H45" i="23"/>
  <c r="Y41" i="23"/>
  <c r="L43" i="17"/>
  <c r="N40" i="17"/>
  <c r="N42" i="17"/>
  <c r="N41" i="17"/>
  <c r="N34" i="17"/>
  <c r="P41" i="17"/>
  <c r="P40" i="17"/>
  <c r="P42" i="17"/>
  <c r="P33" i="17"/>
  <c r="P38" i="17"/>
  <c r="P7" i="17"/>
  <c r="R43" i="17"/>
  <c r="R41" i="17"/>
  <c r="R40" i="17"/>
  <c r="R42" i="17"/>
  <c r="R33" i="17"/>
  <c r="R38" i="17"/>
  <c r="R7" i="17"/>
  <c r="R44" i="17" s="1"/>
  <c r="U43" i="17"/>
  <c r="S38" i="17"/>
  <c r="S33" i="17"/>
  <c r="S7" i="17"/>
  <c r="G44" i="10"/>
  <c r="G30" i="10"/>
  <c r="G31" i="10" s="1"/>
  <c r="L9" i="17"/>
  <c r="O9" i="17"/>
  <c r="R9" i="17"/>
  <c r="J9" i="17"/>
  <c r="M9" i="17"/>
  <c r="T44" i="17" l="1"/>
  <c r="V30" i="17"/>
  <c r="V31" i="17" s="1"/>
  <c r="U44" i="17"/>
  <c r="I44" i="23"/>
  <c r="I30" i="23"/>
  <c r="I31" i="23" s="1"/>
  <c r="Q31" i="17"/>
  <c r="S32" i="17"/>
  <c r="S28" i="17"/>
  <c r="O28" i="17"/>
  <c r="O32" i="17"/>
  <c r="S44" i="17"/>
  <c r="P30" i="17"/>
  <c r="P31" i="17" s="1"/>
  <c r="P44" i="17"/>
  <c r="L32" i="17"/>
  <c r="L28" i="17"/>
  <c r="O44" i="17"/>
  <c r="O30" i="17"/>
  <c r="O31" i="17" s="1"/>
  <c r="Q32" i="17"/>
  <c r="Q28" i="17"/>
  <c r="N31" i="17"/>
  <c r="N32" i="17"/>
  <c r="N28" i="17"/>
  <c r="M32" i="17"/>
  <c r="M28" i="17"/>
  <c r="N44" i="17"/>
  <c r="H44" i="23"/>
  <c r="H30" i="23"/>
  <c r="H31" i="23" s="1"/>
  <c r="U32" i="17"/>
  <c r="U28" i="17"/>
  <c r="V32" i="17"/>
  <c r="V28" i="17"/>
  <c r="L44" i="17"/>
  <c r="P32" i="17"/>
  <c r="P28" i="17"/>
  <c r="R32" i="17"/>
  <c r="R28" i="17"/>
  <c r="L31" i="17"/>
  <c r="T32" i="17"/>
  <c r="T28" i="17"/>
  <c r="Q44" i="17"/>
  <c r="M31" i="17"/>
  <c r="G29" i="11"/>
  <c r="G32" i="11"/>
  <c r="G33" i="11"/>
  <c r="G34" i="11"/>
  <c r="G35" i="11"/>
  <c r="R29" i="11"/>
  <c r="M13" i="11"/>
  <c r="M46" i="11" s="1"/>
  <c r="L13" i="11"/>
  <c r="L46" i="11" s="1"/>
  <c r="K13" i="11"/>
  <c r="K46" i="11" s="1"/>
  <c r="J13" i="11"/>
  <c r="J46" i="11" s="1"/>
  <c r="I13" i="11"/>
  <c r="I46" i="11" s="1"/>
  <c r="H13" i="11"/>
  <c r="H46" i="11" s="1"/>
  <c r="G13" i="11"/>
  <c r="G46" i="11" s="1"/>
  <c r="F13" i="11"/>
  <c r="F46" i="11" s="1"/>
  <c r="I26" i="25" l="1"/>
  <c r="I36" i="25" s="1"/>
  <c r="J26" i="25"/>
  <c r="J36" i="25" s="1"/>
  <c r="K26" i="25"/>
  <c r="K36" i="25" s="1"/>
  <c r="L26" i="25"/>
  <c r="L36" i="25" s="1"/>
  <c r="M26" i="25"/>
  <c r="M36" i="25" s="1"/>
  <c r="V9" i="25"/>
  <c r="T9" i="25"/>
  <c r="U9" i="25"/>
  <c r="R9" i="25"/>
  <c r="S9" i="25"/>
  <c r="P9" i="25"/>
  <c r="Q9" i="25"/>
  <c r="N9" i="25"/>
  <c r="O9" i="25"/>
  <c r="L9" i="25"/>
  <c r="M9" i="25"/>
  <c r="J9" i="25"/>
  <c r="K9" i="25"/>
  <c r="I9" i="25"/>
  <c r="H9" i="25"/>
  <c r="S9" i="19"/>
  <c r="R9" i="19"/>
  <c r="H11" i="19"/>
  <c r="I11" i="19"/>
  <c r="I9" i="19"/>
  <c r="H9" i="19"/>
  <c r="V9" i="39"/>
  <c r="W9" i="39"/>
  <c r="T9" i="39"/>
  <c r="U9" i="39"/>
  <c r="R9" i="39"/>
  <c r="S9" i="39"/>
  <c r="P9" i="39"/>
  <c r="Q9" i="39"/>
  <c r="N9" i="39"/>
  <c r="O9" i="39"/>
  <c r="L9" i="39"/>
  <c r="M9" i="39"/>
  <c r="K9" i="39"/>
  <c r="J9" i="39"/>
  <c r="E11" i="39"/>
  <c r="E34" i="39" s="1"/>
  <c r="D11" i="39"/>
  <c r="D34" i="39" s="1"/>
  <c r="R31" i="11" l="1"/>
  <c r="M9" i="15"/>
  <c r="N9" i="15"/>
  <c r="L9" i="15"/>
  <c r="K9" i="15"/>
  <c r="H9" i="15" l="1"/>
  <c r="V9" i="8"/>
  <c r="T9" i="8"/>
  <c r="U9" i="8"/>
  <c r="S9" i="8"/>
  <c r="R9" i="8"/>
  <c r="N9" i="8"/>
  <c r="O9" i="8"/>
  <c r="L9" i="8"/>
  <c r="M9" i="8"/>
  <c r="K9" i="8"/>
  <c r="J9" i="8"/>
  <c r="I11" i="8"/>
  <c r="H11" i="8"/>
  <c r="D26" i="13" l="1"/>
  <c r="D36" i="13" l="1"/>
  <c r="D37" i="13"/>
  <c r="D30" i="13"/>
  <c r="D31" i="13" s="1"/>
  <c r="D27" i="13"/>
  <c r="D28" i="13"/>
  <c r="I45" i="9"/>
  <c r="I43" i="9"/>
  <c r="I42" i="9"/>
  <c r="I39" i="9"/>
  <c r="I38" i="9"/>
  <c r="D4" i="5" l="1"/>
  <c r="E4" i="5"/>
  <c r="F4" i="5"/>
  <c r="G4" i="5"/>
  <c r="H4" i="5"/>
  <c r="I4" i="5"/>
  <c r="J4" i="5"/>
  <c r="K4" i="5"/>
  <c r="K5" i="5"/>
  <c r="J5" i="5"/>
  <c r="I5" i="5"/>
  <c r="H5" i="5"/>
  <c r="G5" i="5"/>
  <c r="F5" i="5"/>
  <c r="E5" i="5"/>
  <c r="D5" i="5"/>
  <c r="I46" i="5" l="1"/>
  <c r="I26" i="5"/>
  <c r="K46" i="5"/>
  <c r="K26" i="5"/>
  <c r="G46" i="5"/>
  <c r="G26" i="5"/>
  <c r="E46" i="5"/>
  <c r="E26" i="5"/>
  <c r="J46" i="5"/>
  <c r="J26" i="5"/>
  <c r="H46" i="5"/>
  <c r="H26" i="5"/>
  <c r="F26" i="5"/>
  <c r="F46" i="5"/>
  <c r="D46" i="5"/>
  <c r="D26" i="5"/>
  <c r="AE46" i="40"/>
  <c r="AD46" i="40"/>
  <c r="AC46" i="40"/>
  <c r="AN46" i="38"/>
  <c r="AM46" i="38"/>
  <c r="AL46" i="38"/>
  <c r="AB46" i="37"/>
  <c r="AA46" i="37"/>
  <c r="Z46" i="37"/>
  <c r="AF46" i="34"/>
  <c r="AE46" i="34"/>
  <c r="AD46" i="34"/>
  <c r="Z46" i="36"/>
  <c r="Y46" i="36"/>
  <c r="X46" i="36"/>
  <c r="AD46" i="32"/>
  <c r="AF46" i="30"/>
  <c r="AE46" i="30"/>
  <c r="AD46" i="30"/>
  <c r="R46" i="29"/>
  <c r="Q46" i="29"/>
  <c r="J46" i="28"/>
  <c r="I46" i="28"/>
  <c r="H46" i="28"/>
  <c r="AF46" i="26"/>
  <c r="AE46" i="26"/>
  <c r="AE46" i="23"/>
  <c r="AD46" i="23"/>
  <c r="AC46" i="23"/>
  <c r="AE46" i="22"/>
  <c r="AD46" i="22"/>
  <c r="AE46" i="20"/>
  <c r="AD46" i="20"/>
  <c r="AE46" i="18"/>
  <c r="AD46" i="18"/>
  <c r="AC46" i="18"/>
  <c r="Z46" i="17"/>
  <c r="Y46" i="17"/>
  <c r="X46" i="17"/>
  <c r="S46" i="15"/>
  <c r="AB46" i="14"/>
  <c r="AA46" i="14"/>
  <c r="Z46" i="14"/>
  <c r="J46" i="13"/>
  <c r="I46" i="13"/>
  <c r="AE46" i="7"/>
  <c r="AD46" i="7"/>
  <c r="AA46" i="3"/>
  <c r="Z46" i="3"/>
  <c r="Y46" i="3"/>
  <c r="D27" i="5" l="1"/>
  <c r="D36" i="5"/>
  <c r="D30" i="5"/>
  <c r="D31" i="5" s="1"/>
  <c r="D37" i="5"/>
  <c r="D28" i="5"/>
  <c r="E36" i="5"/>
  <c r="E28" i="5"/>
  <c r="E30" i="5"/>
  <c r="E31" i="5" s="1"/>
  <c r="E37" i="5"/>
  <c r="E27" i="5"/>
  <c r="G37" i="5"/>
  <c r="G36" i="5"/>
  <c r="G27" i="5"/>
  <c r="G28" i="5"/>
  <c r="G30" i="5"/>
  <c r="G31" i="5" s="1"/>
  <c r="F36" i="5"/>
  <c r="F27" i="5"/>
  <c r="F28" i="5"/>
  <c r="F37" i="5"/>
  <c r="F30" i="5"/>
  <c r="F31" i="5" s="1"/>
  <c r="H30" i="5"/>
  <c r="H31" i="5" s="1"/>
  <c r="H36" i="5"/>
  <c r="H27" i="5"/>
  <c r="H37" i="5"/>
  <c r="H28" i="5"/>
  <c r="K27" i="5"/>
  <c r="K36" i="5"/>
  <c r="K37" i="5"/>
  <c r="K30" i="5"/>
  <c r="K31" i="5" s="1"/>
  <c r="K28" i="5"/>
  <c r="J28" i="5"/>
  <c r="J36" i="5"/>
  <c r="J30" i="5"/>
  <c r="J31" i="5" s="1"/>
  <c r="J37" i="5"/>
  <c r="J27" i="5"/>
  <c r="I37" i="5"/>
  <c r="I36" i="5"/>
  <c r="I30" i="5"/>
  <c r="I31" i="5" s="1"/>
  <c r="I28" i="5"/>
  <c r="I27" i="5"/>
  <c r="Z46" i="10"/>
  <c r="AA46" i="10"/>
  <c r="S46" i="2" l="1"/>
  <c r="AA28" i="10"/>
  <c r="AA30" i="10"/>
  <c r="AA31" i="10" s="1"/>
  <c r="AA37" i="10"/>
  <c r="AB28" i="10"/>
  <c r="AB31" i="10"/>
  <c r="Z36" i="10"/>
  <c r="Z28" i="10"/>
  <c r="Z37" i="10"/>
  <c r="Z30" i="10"/>
  <c r="Z31" i="10" s="1"/>
  <c r="AC45" i="40"/>
  <c r="AB45" i="40"/>
  <c r="AA45" i="40"/>
  <c r="Z45" i="40"/>
  <c r="Y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D43" i="40"/>
  <c r="D42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AD29" i="40"/>
  <c r="AC29" i="40"/>
  <c r="AC44" i="40" s="1"/>
  <c r="AB29" i="40"/>
  <c r="AB44" i="40" s="1"/>
  <c r="AA29" i="40"/>
  <c r="AA44" i="40" s="1"/>
  <c r="Z29" i="40"/>
  <c r="Z44" i="40" s="1"/>
  <c r="Y29" i="40"/>
  <c r="Y44" i="40" s="1"/>
  <c r="X29" i="40"/>
  <c r="X44" i="40" s="1"/>
  <c r="W29" i="40"/>
  <c r="W44" i="40" s="1"/>
  <c r="V29" i="40"/>
  <c r="V44" i="40" s="1"/>
  <c r="U29" i="40"/>
  <c r="U44" i="40" s="1"/>
  <c r="T29" i="40"/>
  <c r="T44" i="40" s="1"/>
  <c r="S29" i="40"/>
  <c r="S44" i="40" s="1"/>
  <c r="R29" i="40"/>
  <c r="R44" i="40" s="1"/>
  <c r="Q29" i="40"/>
  <c r="Q44" i="40" s="1"/>
  <c r="P29" i="40"/>
  <c r="P44" i="40" s="1"/>
  <c r="O29" i="40"/>
  <c r="O44" i="40" s="1"/>
  <c r="N29" i="40"/>
  <c r="N44" i="40" s="1"/>
  <c r="M29" i="40"/>
  <c r="M44" i="40" s="1"/>
  <c r="L29" i="40"/>
  <c r="L44" i="40" s="1"/>
  <c r="K29" i="40"/>
  <c r="K44" i="40" s="1"/>
  <c r="J29" i="40"/>
  <c r="J44" i="40" s="1"/>
  <c r="I29" i="40"/>
  <c r="I44" i="40" s="1"/>
  <c r="H29" i="40"/>
  <c r="H44" i="40" s="1"/>
  <c r="G29" i="40"/>
  <c r="G44" i="40" s="1"/>
  <c r="F29" i="40"/>
  <c r="F44" i="40" s="1"/>
  <c r="E29" i="40"/>
  <c r="E44" i="40" s="1"/>
  <c r="D29" i="40"/>
  <c r="D44" i="40" s="1"/>
  <c r="AC26" i="40"/>
  <c r="AC36" i="40" s="1"/>
  <c r="AB26" i="40"/>
  <c r="AA26" i="40"/>
  <c r="AA36" i="40" s="1"/>
  <c r="Z26" i="40"/>
  <c r="Y26" i="40"/>
  <c r="Y36" i="40" s="1"/>
  <c r="X26" i="40"/>
  <c r="W26" i="40"/>
  <c r="W36" i="40" s="1"/>
  <c r="V26" i="40"/>
  <c r="U26" i="40"/>
  <c r="T26" i="40"/>
  <c r="S26" i="40"/>
  <c r="S36" i="40" s="1"/>
  <c r="R26" i="40"/>
  <c r="Q26" i="40"/>
  <c r="Q36" i="40" s="1"/>
  <c r="P26" i="40"/>
  <c r="O26" i="40"/>
  <c r="O36" i="40" s="1"/>
  <c r="N26" i="40"/>
  <c r="M26" i="40"/>
  <c r="L26" i="40"/>
  <c r="K26" i="40"/>
  <c r="K36" i="40" s="1"/>
  <c r="J26" i="40"/>
  <c r="I26" i="40"/>
  <c r="I36" i="40" s="1"/>
  <c r="H26" i="40"/>
  <c r="G26" i="40"/>
  <c r="G36" i="40" s="1"/>
  <c r="F26" i="40"/>
  <c r="F37" i="40" s="1"/>
  <c r="E26" i="40"/>
  <c r="E27" i="40" s="1"/>
  <c r="D26" i="40"/>
  <c r="D27" i="40" s="1"/>
  <c r="Y45" i="39"/>
  <c r="X45" i="39"/>
  <c r="W45" i="39"/>
  <c r="V45" i="39"/>
  <c r="Y40" i="39"/>
  <c r="X40" i="39"/>
  <c r="W40" i="39"/>
  <c r="V40" i="39"/>
  <c r="Y39" i="39"/>
  <c r="X39" i="39"/>
  <c r="W39" i="39"/>
  <c r="V39" i="39"/>
  <c r="Y38" i="39"/>
  <c r="X38" i="39"/>
  <c r="W38" i="39"/>
  <c r="V38" i="39"/>
  <c r="Y35" i="39"/>
  <c r="X35" i="39"/>
  <c r="W35" i="39"/>
  <c r="V35" i="39"/>
  <c r="Y34" i="39"/>
  <c r="X34" i="39"/>
  <c r="W34" i="39"/>
  <c r="V34" i="39"/>
  <c r="Y33" i="39"/>
  <c r="X33" i="39"/>
  <c r="W33" i="39"/>
  <c r="V33" i="39"/>
  <c r="Y32" i="39"/>
  <c r="X32" i="39"/>
  <c r="W32" i="39"/>
  <c r="V32" i="39"/>
  <c r="Y29" i="39"/>
  <c r="Y44" i="39" s="1"/>
  <c r="X29" i="39"/>
  <c r="X44" i="39" s="1"/>
  <c r="W29" i="39"/>
  <c r="W44" i="39" s="1"/>
  <c r="V29" i="39"/>
  <c r="V44" i="39" s="1"/>
  <c r="AA26" i="39"/>
  <c r="Z26" i="39"/>
  <c r="Y26" i="39"/>
  <c r="X26" i="39"/>
  <c r="W26" i="39"/>
  <c r="W36" i="39" s="1"/>
  <c r="V26" i="39"/>
  <c r="AL45" i="38"/>
  <c r="AK45" i="38"/>
  <c r="AJ45" i="38"/>
  <c r="AI45" i="38"/>
  <c r="AH45" i="38"/>
  <c r="AG45" i="38"/>
  <c r="AF45" i="38"/>
  <c r="AE45" i="38"/>
  <c r="AD45" i="38"/>
  <c r="AC45" i="38"/>
  <c r="AB45" i="38"/>
  <c r="AA45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D45" i="38"/>
  <c r="V43" i="38"/>
  <c r="V42" i="38"/>
  <c r="AL40" i="38"/>
  <c r="AK40" i="38"/>
  <c r="AJ40" i="38"/>
  <c r="AI40" i="38"/>
  <c r="AH40" i="38"/>
  <c r="AG40" i="38"/>
  <c r="AF40" i="38"/>
  <c r="AE40" i="38"/>
  <c r="AD40" i="38"/>
  <c r="AC40" i="38"/>
  <c r="AB40" i="38"/>
  <c r="AA40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AL39" i="38"/>
  <c r="AK39" i="38"/>
  <c r="AJ39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D39" i="38"/>
  <c r="AL38" i="38"/>
  <c r="AK38" i="38"/>
  <c r="AJ38" i="38"/>
  <c r="AI38" i="38"/>
  <c r="AH38" i="38"/>
  <c r="AG38" i="38"/>
  <c r="AF38" i="38"/>
  <c r="AE38" i="38"/>
  <c r="AD38" i="38"/>
  <c r="AC38" i="38"/>
  <c r="AB38" i="38"/>
  <c r="AA38" i="38"/>
  <c r="Z38" i="38"/>
  <c r="Y38" i="38"/>
  <c r="X38" i="38"/>
  <c r="W38" i="38"/>
  <c r="V38" i="38"/>
  <c r="U38" i="38"/>
  <c r="T38" i="38"/>
  <c r="S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AL35" i="38"/>
  <c r="AK35" i="38"/>
  <c r="AJ35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D35" i="38"/>
  <c r="AL34" i="38"/>
  <c r="AK34" i="38"/>
  <c r="AJ34" i="38"/>
  <c r="AF34" i="38"/>
  <c r="AE34" i="38"/>
  <c r="AD34" i="38"/>
  <c r="AC34" i="38"/>
  <c r="AB34" i="38"/>
  <c r="AA34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D34" i="38"/>
  <c r="AL33" i="38"/>
  <c r="AK33" i="38"/>
  <c r="AJ33" i="38"/>
  <c r="AF33" i="38"/>
  <c r="AE33" i="38"/>
  <c r="AD33" i="38"/>
  <c r="AC33" i="38"/>
  <c r="AB33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D33" i="38"/>
  <c r="AL32" i="38"/>
  <c r="AK32" i="38"/>
  <c r="AJ32" i="38"/>
  <c r="AF32" i="38"/>
  <c r="AE32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D32" i="38"/>
  <c r="AL29" i="38"/>
  <c r="AL44" i="38" s="1"/>
  <c r="AK29" i="38"/>
  <c r="AK44" i="38" s="1"/>
  <c r="AJ29" i="38"/>
  <c r="AJ44" i="38" s="1"/>
  <c r="AI29" i="38"/>
  <c r="AI44" i="38" s="1"/>
  <c r="AH29" i="38"/>
  <c r="AH44" i="38" s="1"/>
  <c r="AG29" i="38"/>
  <c r="AG44" i="38" s="1"/>
  <c r="AF29" i="38"/>
  <c r="AF44" i="38" s="1"/>
  <c r="AE29" i="38"/>
  <c r="AE44" i="38" s="1"/>
  <c r="AD29" i="38"/>
  <c r="AD44" i="38" s="1"/>
  <c r="AC29" i="38"/>
  <c r="AC44" i="38" s="1"/>
  <c r="AB29" i="38"/>
  <c r="AB44" i="38" s="1"/>
  <c r="AA29" i="38"/>
  <c r="AA44" i="38" s="1"/>
  <c r="Z29" i="38"/>
  <c r="Z44" i="38" s="1"/>
  <c r="Y29" i="38"/>
  <c r="Y44" i="38" s="1"/>
  <c r="X29" i="38"/>
  <c r="X44" i="38" s="1"/>
  <c r="W29" i="38"/>
  <c r="W44" i="38" s="1"/>
  <c r="V29" i="38"/>
  <c r="V44" i="38" s="1"/>
  <c r="U29" i="38"/>
  <c r="U44" i="38" s="1"/>
  <c r="T29" i="38"/>
  <c r="T44" i="38" s="1"/>
  <c r="S29" i="38"/>
  <c r="S44" i="38" s="1"/>
  <c r="R29" i="38"/>
  <c r="R44" i="38" s="1"/>
  <c r="Q29" i="38"/>
  <c r="Q44" i="38" s="1"/>
  <c r="P29" i="38"/>
  <c r="P44" i="38" s="1"/>
  <c r="O29" i="38"/>
  <c r="O44" i="38" s="1"/>
  <c r="N29" i="38"/>
  <c r="N44" i="38" s="1"/>
  <c r="M29" i="38"/>
  <c r="M44" i="38" s="1"/>
  <c r="L29" i="38"/>
  <c r="L44" i="38" s="1"/>
  <c r="K29" i="38"/>
  <c r="K44" i="38" s="1"/>
  <c r="J29" i="38"/>
  <c r="J44" i="38" s="1"/>
  <c r="I29" i="38"/>
  <c r="I44" i="38" s="1"/>
  <c r="H29" i="38"/>
  <c r="H44" i="38" s="1"/>
  <c r="G29" i="38"/>
  <c r="G44" i="38" s="1"/>
  <c r="F29" i="38"/>
  <c r="F44" i="38" s="1"/>
  <c r="E29" i="38"/>
  <c r="E44" i="38" s="1"/>
  <c r="D29" i="38"/>
  <c r="D44" i="38" s="1"/>
  <c r="AM26" i="38"/>
  <c r="AL26" i="38"/>
  <c r="AK26" i="38"/>
  <c r="AJ26" i="38"/>
  <c r="AI26" i="38"/>
  <c r="AH26" i="38"/>
  <c r="AG26" i="38"/>
  <c r="AF26" i="38"/>
  <c r="AE26" i="38"/>
  <c r="AD26" i="38"/>
  <c r="AC26" i="38"/>
  <c r="AB26" i="38"/>
  <c r="AA26" i="38"/>
  <c r="Z26" i="38"/>
  <c r="Y26" i="38"/>
  <c r="X26" i="38"/>
  <c r="W26" i="38"/>
  <c r="V26" i="38"/>
  <c r="U26" i="38"/>
  <c r="T26" i="38"/>
  <c r="S26" i="38"/>
  <c r="R26" i="38"/>
  <c r="Q26" i="38"/>
  <c r="P26" i="38"/>
  <c r="P27" i="38" s="1"/>
  <c r="O26" i="38"/>
  <c r="O37" i="38" s="1"/>
  <c r="N26" i="38"/>
  <c r="M26" i="38"/>
  <c r="M36" i="38" s="1"/>
  <c r="L26" i="38"/>
  <c r="L27" i="38" s="1"/>
  <c r="K26" i="38"/>
  <c r="K37" i="38" s="1"/>
  <c r="J26" i="38"/>
  <c r="I26" i="38"/>
  <c r="I27" i="38" s="1"/>
  <c r="H26" i="38"/>
  <c r="H27" i="38" s="1"/>
  <c r="G26" i="38"/>
  <c r="G37" i="38" s="1"/>
  <c r="F26" i="38"/>
  <c r="E26" i="38"/>
  <c r="E27" i="38" s="1"/>
  <c r="D26" i="38"/>
  <c r="D27" i="38" s="1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AA29" i="37"/>
  <c r="AA44" i="37" s="1"/>
  <c r="Z29" i="37"/>
  <c r="Z44" i="37" s="1"/>
  <c r="Y29" i="37"/>
  <c r="Y44" i="37" s="1"/>
  <c r="X29" i="37"/>
  <c r="X44" i="37" s="1"/>
  <c r="W29" i="37"/>
  <c r="W44" i="37" s="1"/>
  <c r="V29" i="37"/>
  <c r="V44" i="37" s="1"/>
  <c r="U29" i="37"/>
  <c r="U44" i="37" s="1"/>
  <c r="T29" i="37"/>
  <c r="T44" i="37" s="1"/>
  <c r="S29" i="37"/>
  <c r="S44" i="37" s="1"/>
  <c r="R29" i="37"/>
  <c r="R44" i="37" s="1"/>
  <c r="Q29" i="37"/>
  <c r="Q44" i="37" s="1"/>
  <c r="P29" i="37"/>
  <c r="P44" i="37" s="1"/>
  <c r="O29" i="37"/>
  <c r="O44" i="37" s="1"/>
  <c r="N29" i="37"/>
  <c r="N44" i="37" s="1"/>
  <c r="M29" i="37"/>
  <c r="M44" i="37" s="1"/>
  <c r="L29" i="37"/>
  <c r="L44" i="37" s="1"/>
  <c r="K29" i="37"/>
  <c r="K44" i="37" s="1"/>
  <c r="J29" i="37"/>
  <c r="J44" i="37" s="1"/>
  <c r="I29" i="37"/>
  <c r="I44" i="37" s="1"/>
  <c r="H29" i="37"/>
  <c r="H44" i="37" s="1"/>
  <c r="G29" i="37"/>
  <c r="G44" i="37" s="1"/>
  <c r="F29" i="37"/>
  <c r="F44" i="37" s="1"/>
  <c r="E29" i="37"/>
  <c r="E44" i="37" s="1"/>
  <c r="D29" i="37"/>
  <c r="D44" i="37" s="1"/>
  <c r="AB26" i="37"/>
  <c r="AA26" i="37"/>
  <c r="Z26" i="37"/>
  <c r="Y26" i="37"/>
  <c r="X26" i="37"/>
  <c r="X36" i="37" s="1"/>
  <c r="W26" i="37"/>
  <c r="V26" i="37"/>
  <c r="V36" i="37" s="1"/>
  <c r="U26" i="37"/>
  <c r="T26" i="37"/>
  <c r="T36" i="37" s="1"/>
  <c r="S26" i="37"/>
  <c r="R26" i="37"/>
  <c r="R36" i="37" s="1"/>
  <c r="Q26" i="37"/>
  <c r="P26" i="37"/>
  <c r="P36" i="37" s="1"/>
  <c r="O26" i="37"/>
  <c r="N26" i="37"/>
  <c r="N36" i="37" s="1"/>
  <c r="M26" i="37"/>
  <c r="L26" i="37"/>
  <c r="L36" i="37" s="1"/>
  <c r="K26" i="37"/>
  <c r="J26" i="37"/>
  <c r="I26" i="37"/>
  <c r="H26" i="37"/>
  <c r="H36" i="37" s="1"/>
  <c r="G26" i="37"/>
  <c r="F26" i="37"/>
  <c r="F36" i="37" s="1"/>
  <c r="E26" i="37"/>
  <c r="E27" i="37" s="1"/>
  <c r="D26" i="37"/>
  <c r="D36" i="37" s="1"/>
  <c r="Y45" i="36"/>
  <c r="X45" i="36"/>
  <c r="W45" i="36"/>
  <c r="V45" i="36"/>
  <c r="Y40" i="36"/>
  <c r="X40" i="36"/>
  <c r="W40" i="36"/>
  <c r="V40" i="36"/>
  <c r="Y39" i="36"/>
  <c r="X39" i="36"/>
  <c r="W39" i="36"/>
  <c r="V39" i="36"/>
  <c r="Y38" i="36"/>
  <c r="X38" i="36"/>
  <c r="W38" i="36"/>
  <c r="V38" i="36"/>
  <c r="Y35" i="36"/>
  <c r="X35" i="36"/>
  <c r="W35" i="36"/>
  <c r="V35" i="36"/>
  <c r="Y34" i="36"/>
  <c r="X34" i="36"/>
  <c r="W34" i="36"/>
  <c r="V34" i="36"/>
  <c r="Y33" i="36"/>
  <c r="X33" i="36"/>
  <c r="W33" i="36"/>
  <c r="V33" i="36"/>
  <c r="Y32" i="36"/>
  <c r="X32" i="36"/>
  <c r="W32" i="36"/>
  <c r="V32" i="36"/>
  <c r="Y29" i="36"/>
  <c r="Y44" i="36" s="1"/>
  <c r="X29" i="36"/>
  <c r="X44" i="36" s="1"/>
  <c r="W29" i="36"/>
  <c r="W44" i="36" s="1"/>
  <c r="V29" i="36"/>
  <c r="V44" i="36" s="1"/>
  <c r="Z26" i="36"/>
  <c r="Y26" i="36"/>
  <c r="X26" i="36"/>
  <c r="W26" i="36"/>
  <c r="V26" i="36"/>
  <c r="V36" i="36" s="1"/>
  <c r="AF45" i="34"/>
  <c r="AE45" i="34"/>
  <c r="AD45" i="34"/>
  <c r="AC45" i="34"/>
  <c r="H45" i="34"/>
  <c r="G45" i="34"/>
  <c r="F45" i="34"/>
  <c r="E45" i="34"/>
  <c r="D45" i="34"/>
  <c r="D43" i="34"/>
  <c r="D42" i="34"/>
  <c r="AF40" i="34"/>
  <c r="AE40" i="34"/>
  <c r="AD40" i="34"/>
  <c r="AC40" i="34"/>
  <c r="H40" i="34"/>
  <c r="G40" i="34"/>
  <c r="F40" i="34"/>
  <c r="E40" i="34"/>
  <c r="D40" i="34"/>
  <c r="AF39" i="34"/>
  <c r="AE39" i="34"/>
  <c r="AD39" i="34"/>
  <c r="AC39" i="34"/>
  <c r="H39" i="34"/>
  <c r="G39" i="34"/>
  <c r="F39" i="34"/>
  <c r="E39" i="34"/>
  <c r="D39" i="34"/>
  <c r="AF38" i="34"/>
  <c r="AE38" i="34"/>
  <c r="AD38" i="34"/>
  <c r="AC38" i="34"/>
  <c r="H38" i="34"/>
  <c r="G38" i="34"/>
  <c r="F38" i="34"/>
  <c r="E38" i="34"/>
  <c r="D38" i="34"/>
  <c r="AF35" i="34"/>
  <c r="AE35" i="34"/>
  <c r="AD35" i="34"/>
  <c r="AC35" i="34"/>
  <c r="H35" i="34"/>
  <c r="G35" i="34"/>
  <c r="F35" i="34"/>
  <c r="E35" i="34"/>
  <c r="D35" i="34"/>
  <c r="AF34" i="34"/>
  <c r="AE34" i="34"/>
  <c r="AD34" i="34"/>
  <c r="AC34" i="34"/>
  <c r="H34" i="34"/>
  <c r="G34" i="34"/>
  <c r="F34" i="34"/>
  <c r="E34" i="34"/>
  <c r="D34" i="34"/>
  <c r="AF33" i="34"/>
  <c r="AE33" i="34"/>
  <c r="AD33" i="34"/>
  <c r="AC33" i="34"/>
  <c r="H33" i="34"/>
  <c r="G33" i="34"/>
  <c r="F33" i="34"/>
  <c r="E33" i="34"/>
  <c r="D33" i="34"/>
  <c r="AF32" i="34"/>
  <c r="AE32" i="34"/>
  <c r="AD32" i="34"/>
  <c r="AC32" i="34"/>
  <c r="H32" i="34"/>
  <c r="G32" i="34"/>
  <c r="F32" i="34"/>
  <c r="E32" i="34"/>
  <c r="D32" i="34"/>
  <c r="AF29" i="34"/>
  <c r="AF44" i="34" s="1"/>
  <c r="AE29" i="34"/>
  <c r="AE44" i="34" s="1"/>
  <c r="AD29" i="34"/>
  <c r="AD44" i="34" s="1"/>
  <c r="AC29" i="34"/>
  <c r="AC44" i="34" s="1"/>
  <c r="H29" i="34"/>
  <c r="H44" i="34" s="1"/>
  <c r="G29" i="34"/>
  <c r="G44" i="34" s="1"/>
  <c r="F29" i="34"/>
  <c r="F44" i="34" s="1"/>
  <c r="E29" i="34"/>
  <c r="E44" i="34" s="1"/>
  <c r="D29" i="34"/>
  <c r="D44" i="34" s="1"/>
  <c r="AF26" i="34"/>
  <c r="AF36" i="34" s="1"/>
  <c r="AE26" i="34"/>
  <c r="AD26" i="34"/>
  <c r="AC26" i="34"/>
  <c r="H26" i="34"/>
  <c r="H36" i="34" s="1"/>
  <c r="G26" i="34"/>
  <c r="G37" i="34" s="1"/>
  <c r="F26" i="34"/>
  <c r="E26" i="34"/>
  <c r="D26" i="34"/>
  <c r="D36" i="34" s="1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E45" i="32"/>
  <c r="D45" i="32"/>
  <c r="D43" i="32"/>
  <c r="D42" i="32"/>
  <c r="AD40" i="32"/>
  <c r="AC40" i="32"/>
  <c r="AB40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O40" i="32"/>
  <c r="N40" i="32"/>
  <c r="M40" i="32"/>
  <c r="L40" i="32"/>
  <c r="K40" i="32"/>
  <c r="J40" i="32"/>
  <c r="I40" i="32"/>
  <c r="H40" i="32"/>
  <c r="G40" i="32"/>
  <c r="F40" i="32"/>
  <c r="E40" i="32"/>
  <c r="D40" i="32"/>
  <c r="AD39" i="32"/>
  <c r="AC39" i="32"/>
  <c r="AB39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H39" i="32"/>
  <c r="G39" i="32"/>
  <c r="F39" i="32"/>
  <c r="E39" i="32"/>
  <c r="D39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M38" i="32"/>
  <c r="L38" i="32"/>
  <c r="K38" i="32"/>
  <c r="J38" i="32"/>
  <c r="I38" i="32"/>
  <c r="H38" i="32"/>
  <c r="G38" i="32"/>
  <c r="F38" i="32"/>
  <c r="E38" i="32"/>
  <c r="D38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AE33" i="32"/>
  <c r="AD33" i="32"/>
  <c r="AC33" i="32"/>
  <c r="AB33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AE29" i="32"/>
  <c r="AD29" i="32"/>
  <c r="AD44" i="32" s="1"/>
  <c r="AC29" i="32"/>
  <c r="AC44" i="32" s="1"/>
  <c r="AB29" i="32"/>
  <c r="AB44" i="32" s="1"/>
  <c r="AA29" i="32"/>
  <c r="AA44" i="32" s="1"/>
  <c r="Z29" i="32"/>
  <c r="Z44" i="32" s="1"/>
  <c r="Y29" i="32"/>
  <c r="Y44" i="32" s="1"/>
  <c r="X29" i="32"/>
  <c r="X44" i="32" s="1"/>
  <c r="W29" i="32"/>
  <c r="W44" i="32" s="1"/>
  <c r="V29" i="32"/>
  <c r="V44" i="32" s="1"/>
  <c r="U29" i="32"/>
  <c r="U44" i="32" s="1"/>
  <c r="T29" i="32"/>
  <c r="T44" i="32" s="1"/>
  <c r="S29" i="32"/>
  <c r="S44" i="32" s="1"/>
  <c r="R29" i="32"/>
  <c r="R44" i="32" s="1"/>
  <c r="Q44" i="32"/>
  <c r="P29" i="32"/>
  <c r="P44" i="32" s="1"/>
  <c r="O29" i="32"/>
  <c r="O44" i="32" s="1"/>
  <c r="N29" i="32"/>
  <c r="N44" i="32" s="1"/>
  <c r="M29" i="32"/>
  <c r="M44" i="32" s="1"/>
  <c r="L29" i="32"/>
  <c r="L44" i="32" s="1"/>
  <c r="K29" i="32"/>
  <c r="K44" i="32" s="1"/>
  <c r="J29" i="32"/>
  <c r="J44" i="32" s="1"/>
  <c r="I29" i="32"/>
  <c r="I44" i="32" s="1"/>
  <c r="H29" i="32"/>
  <c r="H44" i="32" s="1"/>
  <c r="G29" i="32"/>
  <c r="G44" i="32" s="1"/>
  <c r="F29" i="32"/>
  <c r="F44" i="32" s="1"/>
  <c r="E29" i="32"/>
  <c r="E44" i="32" s="1"/>
  <c r="D29" i="32"/>
  <c r="D44" i="32" s="1"/>
  <c r="AE36" i="32"/>
  <c r="AC36" i="32"/>
  <c r="AB26" i="32"/>
  <c r="AA26" i="32"/>
  <c r="AA36" i="32" s="1"/>
  <c r="Z26" i="32"/>
  <c r="Y26" i="32"/>
  <c r="X26" i="32"/>
  <c r="W26" i="32"/>
  <c r="W36" i="32" s="1"/>
  <c r="V26" i="32"/>
  <c r="U26" i="32"/>
  <c r="T26" i="32"/>
  <c r="S26" i="32"/>
  <c r="S36" i="32" s="1"/>
  <c r="R26" i="32"/>
  <c r="Q26" i="32"/>
  <c r="P26" i="32"/>
  <c r="O26" i="32"/>
  <c r="O36" i="32" s="1"/>
  <c r="N26" i="32"/>
  <c r="M26" i="32"/>
  <c r="L26" i="32"/>
  <c r="K26" i="32"/>
  <c r="K36" i="32" s="1"/>
  <c r="J26" i="32"/>
  <c r="I26" i="32"/>
  <c r="H26" i="32"/>
  <c r="G26" i="32"/>
  <c r="G36" i="32" s="1"/>
  <c r="F26" i="32"/>
  <c r="F37" i="32" s="1"/>
  <c r="E26" i="32"/>
  <c r="E27" i="32" s="1"/>
  <c r="D26" i="32"/>
  <c r="D27" i="32" s="1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AD29" i="30"/>
  <c r="AD44" i="30" s="1"/>
  <c r="AC29" i="30"/>
  <c r="AC44" i="30" s="1"/>
  <c r="AB29" i="30"/>
  <c r="AB44" i="30" s="1"/>
  <c r="AA29" i="30"/>
  <c r="AA44" i="30" s="1"/>
  <c r="Z29" i="30"/>
  <c r="Z44" i="30" s="1"/>
  <c r="Y29" i="30"/>
  <c r="Y44" i="30" s="1"/>
  <c r="X29" i="30"/>
  <c r="X44" i="30" s="1"/>
  <c r="W29" i="30"/>
  <c r="W44" i="30" s="1"/>
  <c r="V29" i="30"/>
  <c r="V44" i="30" s="1"/>
  <c r="U29" i="30"/>
  <c r="U44" i="30" s="1"/>
  <c r="T29" i="30"/>
  <c r="T44" i="30" s="1"/>
  <c r="S29" i="30"/>
  <c r="S44" i="30" s="1"/>
  <c r="R29" i="30"/>
  <c r="R44" i="30" s="1"/>
  <c r="Q29" i="30"/>
  <c r="Q44" i="30" s="1"/>
  <c r="P29" i="30"/>
  <c r="P44" i="30" s="1"/>
  <c r="O29" i="30"/>
  <c r="O44" i="30" s="1"/>
  <c r="N29" i="30"/>
  <c r="N44" i="30" s="1"/>
  <c r="M29" i="30"/>
  <c r="M44" i="30" s="1"/>
  <c r="L29" i="30"/>
  <c r="L44" i="30" s="1"/>
  <c r="K29" i="30"/>
  <c r="K44" i="30" s="1"/>
  <c r="J29" i="30"/>
  <c r="J44" i="30" s="1"/>
  <c r="I29" i="30"/>
  <c r="I44" i="30" s="1"/>
  <c r="H29" i="30"/>
  <c r="H44" i="30" s="1"/>
  <c r="G29" i="30"/>
  <c r="G44" i="30" s="1"/>
  <c r="F29" i="30"/>
  <c r="F44" i="30" s="1"/>
  <c r="E29" i="30"/>
  <c r="E44" i="30" s="1"/>
  <c r="D29" i="30"/>
  <c r="D44" i="30" s="1"/>
  <c r="AE26" i="30"/>
  <c r="AD26" i="30"/>
  <c r="AC26" i="30"/>
  <c r="AB26" i="30"/>
  <c r="AB36" i="30" s="1"/>
  <c r="AA26" i="30"/>
  <c r="Z26" i="30"/>
  <c r="Z36" i="30" s="1"/>
  <c r="Y26" i="30"/>
  <c r="X26" i="30"/>
  <c r="X36" i="30" s="1"/>
  <c r="W26" i="30"/>
  <c r="V26" i="30"/>
  <c r="V36" i="30" s="1"/>
  <c r="U26" i="30"/>
  <c r="T26" i="30"/>
  <c r="T36" i="30" s="1"/>
  <c r="S26" i="30"/>
  <c r="R26" i="30"/>
  <c r="R36" i="30" s="1"/>
  <c r="Q26" i="30"/>
  <c r="P26" i="30"/>
  <c r="P36" i="30" s="1"/>
  <c r="O26" i="30"/>
  <c r="N26" i="30"/>
  <c r="N36" i="30" s="1"/>
  <c r="M26" i="30"/>
  <c r="L26" i="30"/>
  <c r="L36" i="30" s="1"/>
  <c r="K26" i="30"/>
  <c r="J26" i="30"/>
  <c r="J36" i="30" s="1"/>
  <c r="I26" i="30"/>
  <c r="H26" i="30"/>
  <c r="H36" i="30" s="1"/>
  <c r="G26" i="30"/>
  <c r="G37" i="30" s="1"/>
  <c r="F26" i="30"/>
  <c r="E26" i="30"/>
  <c r="E27" i="30" s="1"/>
  <c r="D26" i="30"/>
  <c r="D36" i="30" s="1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Q29" i="29"/>
  <c r="Q44" i="29" s="1"/>
  <c r="P29" i="29"/>
  <c r="P44" i="29" s="1"/>
  <c r="O29" i="29"/>
  <c r="O44" i="29" s="1"/>
  <c r="N29" i="29"/>
  <c r="N44" i="29" s="1"/>
  <c r="M29" i="29"/>
  <c r="M44" i="29" s="1"/>
  <c r="L29" i="29"/>
  <c r="L44" i="29" s="1"/>
  <c r="K29" i="29"/>
  <c r="K44" i="29" s="1"/>
  <c r="J29" i="29"/>
  <c r="J44" i="29" s="1"/>
  <c r="I29" i="29"/>
  <c r="I44" i="29" s="1"/>
  <c r="H29" i="29"/>
  <c r="H44" i="29" s="1"/>
  <c r="G29" i="29"/>
  <c r="G44" i="29" s="1"/>
  <c r="F29" i="29"/>
  <c r="F44" i="29" s="1"/>
  <c r="E29" i="29"/>
  <c r="E44" i="29" s="1"/>
  <c r="D29" i="29"/>
  <c r="D44" i="29" s="1"/>
  <c r="N26" i="29"/>
  <c r="N36" i="29" s="1"/>
  <c r="M26" i="29"/>
  <c r="L26" i="29"/>
  <c r="K26" i="29"/>
  <c r="J26" i="29"/>
  <c r="J36" i="29" s="1"/>
  <c r="I26" i="29"/>
  <c r="H26" i="29"/>
  <c r="G26" i="29"/>
  <c r="F26" i="29"/>
  <c r="F36" i="29" s="1"/>
  <c r="E26" i="29"/>
  <c r="D26" i="29"/>
  <c r="I26" i="28"/>
  <c r="H26" i="28"/>
  <c r="G26" i="28"/>
  <c r="F26" i="28"/>
  <c r="E26" i="28"/>
  <c r="D26" i="28"/>
  <c r="AD45" i="27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AD43" i="27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AD42" i="27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AD40" i="27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AD39" i="27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AD38" i="27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U35" i="27"/>
  <c r="T35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U34" i="27"/>
  <c r="T34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U33" i="27"/>
  <c r="T33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U32" i="27"/>
  <c r="T32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AD29" i="27"/>
  <c r="AD44" i="27" s="1"/>
  <c r="AC29" i="27"/>
  <c r="AC44" i="27" s="1"/>
  <c r="AB29" i="27"/>
  <c r="AB44" i="27" s="1"/>
  <c r="AA29" i="27"/>
  <c r="AA44" i="27" s="1"/>
  <c r="Z29" i="27"/>
  <c r="Z44" i="27" s="1"/>
  <c r="Y29" i="27"/>
  <c r="Y44" i="27" s="1"/>
  <c r="X29" i="27"/>
  <c r="X44" i="27" s="1"/>
  <c r="W29" i="27"/>
  <c r="W44" i="27" s="1"/>
  <c r="V29" i="27"/>
  <c r="V44" i="27" s="1"/>
  <c r="U29" i="27"/>
  <c r="U44" i="27" s="1"/>
  <c r="T29" i="27"/>
  <c r="T44" i="27" s="1"/>
  <c r="S29" i="27"/>
  <c r="S44" i="27" s="1"/>
  <c r="R29" i="27"/>
  <c r="R44" i="27" s="1"/>
  <c r="Q29" i="27"/>
  <c r="Q44" i="27" s="1"/>
  <c r="P29" i="27"/>
  <c r="P44" i="27" s="1"/>
  <c r="O29" i="27"/>
  <c r="O44" i="27" s="1"/>
  <c r="N29" i="27"/>
  <c r="N44" i="27" s="1"/>
  <c r="M29" i="27"/>
  <c r="M44" i="27" s="1"/>
  <c r="L29" i="27"/>
  <c r="L44" i="27" s="1"/>
  <c r="K29" i="27"/>
  <c r="K44" i="27" s="1"/>
  <c r="J29" i="27"/>
  <c r="J44" i="27" s="1"/>
  <c r="I29" i="27"/>
  <c r="I44" i="27" s="1"/>
  <c r="H29" i="27"/>
  <c r="H44" i="27" s="1"/>
  <c r="G29" i="27"/>
  <c r="G44" i="27" s="1"/>
  <c r="F29" i="27"/>
  <c r="F44" i="27" s="1"/>
  <c r="E29" i="27"/>
  <c r="E44" i="27" s="1"/>
  <c r="D29" i="27"/>
  <c r="D44" i="27" s="1"/>
  <c r="AE26" i="27"/>
  <c r="AD26" i="27"/>
  <c r="AC26" i="27"/>
  <c r="AB26" i="27"/>
  <c r="AA26" i="27"/>
  <c r="Z26" i="27"/>
  <c r="Y26" i="27"/>
  <c r="X26" i="27"/>
  <c r="W26" i="27"/>
  <c r="V26" i="27"/>
  <c r="U26" i="27"/>
  <c r="U36" i="27" s="1"/>
  <c r="T26" i="27"/>
  <c r="S26" i="27"/>
  <c r="S36" i="27" s="1"/>
  <c r="R26" i="27"/>
  <c r="Q26" i="27"/>
  <c r="Q36" i="27" s="1"/>
  <c r="P26" i="27"/>
  <c r="O26" i="27"/>
  <c r="O36" i="27" s="1"/>
  <c r="N26" i="27"/>
  <c r="M26" i="27"/>
  <c r="M36" i="27" s="1"/>
  <c r="L26" i="27"/>
  <c r="K26" i="27"/>
  <c r="K36" i="27" s="1"/>
  <c r="J26" i="27"/>
  <c r="I26" i="27"/>
  <c r="I36" i="27" s="1"/>
  <c r="H26" i="27"/>
  <c r="G26" i="27"/>
  <c r="G36" i="27" s="1"/>
  <c r="F26" i="27"/>
  <c r="F37" i="27" s="1"/>
  <c r="E26" i="27"/>
  <c r="D26" i="27"/>
  <c r="D27" i="27" s="1"/>
  <c r="AC45" i="26"/>
  <c r="AB45" i="26"/>
  <c r="AA45" i="26"/>
  <c r="Z45" i="26"/>
  <c r="Y45" i="26"/>
  <c r="E45" i="26"/>
  <c r="D45" i="26"/>
  <c r="AC43" i="26"/>
  <c r="AB43" i="26"/>
  <c r="AA43" i="26"/>
  <c r="Z43" i="26"/>
  <c r="Y43" i="26"/>
  <c r="E43" i="26"/>
  <c r="D43" i="26"/>
  <c r="AC42" i="26"/>
  <c r="AB42" i="26"/>
  <c r="AA42" i="26"/>
  <c r="Z42" i="26"/>
  <c r="Y42" i="26"/>
  <c r="E42" i="26"/>
  <c r="D42" i="26"/>
  <c r="AC40" i="26"/>
  <c r="AB40" i="26"/>
  <c r="AA40" i="26"/>
  <c r="Z40" i="26"/>
  <c r="Y40" i="26"/>
  <c r="E40" i="26"/>
  <c r="D40" i="26"/>
  <c r="AC39" i="26"/>
  <c r="AB39" i="26"/>
  <c r="AA39" i="26"/>
  <c r="Z39" i="26"/>
  <c r="Y39" i="26"/>
  <c r="E39" i="26"/>
  <c r="D39" i="26"/>
  <c r="AC38" i="26"/>
  <c r="AB38" i="26"/>
  <c r="AA38" i="26"/>
  <c r="Z38" i="26"/>
  <c r="Y38" i="26"/>
  <c r="E38" i="26"/>
  <c r="D38" i="26"/>
  <c r="AC35" i="26"/>
  <c r="AB35" i="26"/>
  <c r="AA35" i="26"/>
  <c r="Z35" i="26"/>
  <c r="Y35" i="26"/>
  <c r="E35" i="26"/>
  <c r="D35" i="26"/>
  <c r="AC34" i="26"/>
  <c r="AB34" i="26"/>
  <c r="AA34" i="26"/>
  <c r="Z34" i="26"/>
  <c r="Y34" i="26"/>
  <c r="E34" i="26"/>
  <c r="D34" i="26"/>
  <c r="AC33" i="26"/>
  <c r="AB33" i="26"/>
  <c r="AA33" i="26"/>
  <c r="Z33" i="26"/>
  <c r="Y33" i="26"/>
  <c r="E33" i="26"/>
  <c r="D33" i="26"/>
  <c r="AC32" i="26"/>
  <c r="AB32" i="26"/>
  <c r="AA32" i="26"/>
  <c r="Z32" i="26"/>
  <c r="Y32" i="26"/>
  <c r="E32" i="26"/>
  <c r="D32" i="26"/>
  <c r="AC29" i="26"/>
  <c r="AC44" i="26" s="1"/>
  <c r="AB29" i="26"/>
  <c r="AB44" i="26" s="1"/>
  <c r="AA29" i="26"/>
  <c r="AA44" i="26" s="1"/>
  <c r="Z29" i="26"/>
  <c r="Z44" i="26" s="1"/>
  <c r="Y29" i="26"/>
  <c r="Y44" i="26" s="1"/>
  <c r="E29" i="26"/>
  <c r="E44" i="26" s="1"/>
  <c r="D29" i="26"/>
  <c r="D44" i="26" s="1"/>
  <c r="AF26" i="26"/>
  <c r="AE26" i="26"/>
  <c r="AD26" i="26"/>
  <c r="AC26" i="26"/>
  <c r="AC36" i="26" s="1"/>
  <c r="AB26" i="26"/>
  <c r="AB36" i="26" s="1"/>
  <c r="AA26" i="26"/>
  <c r="Z26" i="26"/>
  <c r="Y26" i="26"/>
  <c r="E26" i="26"/>
  <c r="E36" i="26" s="1"/>
  <c r="D26" i="26"/>
  <c r="D36" i="26" s="1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Z29" i="25"/>
  <c r="Y29" i="25"/>
  <c r="Y44" i="25" s="1"/>
  <c r="X29" i="25"/>
  <c r="X44" i="25" s="1"/>
  <c r="W29" i="25"/>
  <c r="W44" i="25" s="1"/>
  <c r="V29" i="25"/>
  <c r="V44" i="25" s="1"/>
  <c r="U29" i="25"/>
  <c r="U44" i="25" s="1"/>
  <c r="T29" i="25"/>
  <c r="T44" i="25" s="1"/>
  <c r="S29" i="25"/>
  <c r="S44" i="25" s="1"/>
  <c r="R29" i="25"/>
  <c r="R44" i="25" s="1"/>
  <c r="Q29" i="25"/>
  <c r="Q44" i="25" s="1"/>
  <c r="P29" i="25"/>
  <c r="P44" i="25" s="1"/>
  <c r="O29" i="25"/>
  <c r="O44" i="25" s="1"/>
  <c r="N29" i="25"/>
  <c r="N44" i="25" s="1"/>
  <c r="M29" i="25"/>
  <c r="M44" i="25" s="1"/>
  <c r="L29" i="25"/>
  <c r="L44" i="25" s="1"/>
  <c r="K29" i="25"/>
  <c r="K44" i="25" s="1"/>
  <c r="J29" i="25"/>
  <c r="J44" i="25" s="1"/>
  <c r="I29" i="25"/>
  <c r="I44" i="25" s="1"/>
  <c r="H29" i="25"/>
  <c r="H44" i="25" s="1"/>
  <c r="G29" i="25"/>
  <c r="G44" i="25" s="1"/>
  <c r="F29" i="25"/>
  <c r="F44" i="25" s="1"/>
  <c r="E29" i="25"/>
  <c r="E44" i="25" s="1"/>
  <c r="D29" i="25"/>
  <c r="D44" i="25" s="1"/>
  <c r="Y26" i="25"/>
  <c r="X26" i="25"/>
  <c r="X36" i="25" s="1"/>
  <c r="W26" i="25"/>
  <c r="V26" i="25"/>
  <c r="V36" i="25" s="1"/>
  <c r="U26" i="25"/>
  <c r="T26" i="25"/>
  <c r="T36" i="25" s="1"/>
  <c r="S26" i="25"/>
  <c r="R26" i="25"/>
  <c r="R36" i="25" s="1"/>
  <c r="Q26" i="25"/>
  <c r="P26" i="25"/>
  <c r="P36" i="25" s="1"/>
  <c r="O26" i="25"/>
  <c r="O36" i="25" s="1"/>
  <c r="N26" i="25"/>
  <c r="N36" i="25" s="1"/>
  <c r="M37" i="25"/>
  <c r="I37" i="25"/>
  <c r="H26" i="25"/>
  <c r="H36" i="25" s="1"/>
  <c r="G26" i="25"/>
  <c r="F26" i="25"/>
  <c r="F36" i="25" s="1"/>
  <c r="E26" i="25"/>
  <c r="D26" i="25"/>
  <c r="D36" i="25" s="1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P29" i="24"/>
  <c r="P44" i="24" s="1"/>
  <c r="O29" i="24"/>
  <c r="O44" i="24" s="1"/>
  <c r="N29" i="24"/>
  <c r="N44" i="24" s="1"/>
  <c r="M29" i="24"/>
  <c r="M44" i="24" s="1"/>
  <c r="L29" i="24"/>
  <c r="L44" i="24" s="1"/>
  <c r="K29" i="24"/>
  <c r="K44" i="24" s="1"/>
  <c r="J29" i="24"/>
  <c r="J44" i="24" s="1"/>
  <c r="I29" i="24"/>
  <c r="I44" i="24" s="1"/>
  <c r="H29" i="24"/>
  <c r="H44" i="24" s="1"/>
  <c r="G29" i="24"/>
  <c r="G44" i="24" s="1"/>
  <c r="F29" i="24"/>
  <c r="F44" i="24" s="1"/>
  <c r="E29" i="24"/>
  <c r="E44" i="24" s="1"/>
  <c r="D29" i="24"/>
  <c r="D44" i="24" s="1"/>
  <c r="P26" i="24"/>
  <c r="O26" i="24"/>
  <c r="O36" i="24" s="1"/>
  <c r="N26" i="24"/>
  <c r="M26" i="24"/>
  <c r="L26" i="24"/>
  <c r="K26" i="24"/>
  <c r="K36" i="24" s="1"/>
  <c r="J26" i="24"/>
  <c r="I26" i="24"/>
  <c r="H26" i="24"/>
  <c r="G26" i="24"/>
  <c r="G36" i="24" s="1"/>
  <c r="F26" i="24"/>
  <c r="E26" i="24"/>
  <c r="D26" i="24"/>
  <c r="D27" i="24" s="1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G45" i="23"/>
  <c r="F45" i="23"/>
  <c r="E45" i="23"/>
  <c r="D45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G43" i="23"/>
  <c r="F43" i="23"/>
  <c r="E43" i="23"/>
  <c r="D43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P42" i="23"/>
  <c r="O42" i="23"/>
  <c r="N42" i="23"/>
  <c r="M42" i="23"/>
  <c r="L42" i="23"/>
  <c r="K42" i="23"/>
  <c r="J42" i="23"/>
  <c r="G42" i="23"/>
  <c r="F42" i="23"/>
  <c r="E42" i="23"/>
  <c r="D42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G40" i="23"/>
  <c r="F40" i="23"/>
  <c r="E40" i="23"/>
  <c r="D40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G39" i="23"/>
  <c r="F39" i="23"/>
  <c r="E39" i="23"/>
  <c r="D39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G38" i="23"/>
  <c r="F38" i="23"/>
  <c r="E38" i="23"/>
  <c r="D38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G35" i="23"/>
  <c r="F35" i="23"/>
  <c r="E35" i="23"/>
  <c r="D35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G34" i="23"/>
  <c r="F34" i="23"/>
  <c r="E34" i="23"/>
  <c r="D34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G33" i="23"/>
  <c r="F33" i="23"/>
  <c r="E33" i="23"/>
  <c r="D33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G32" i="23"/>
  <c r="F32" i="23"/>
  <c r="E32" i="23"/>
  <c r="D32" i="23"/>
  <c r="AE29" i="23"/>
  <c r="AD29" i="23"/>
  <c r="AD44" i="23" s="1"/>
  <c r="AC29" i="23"/>
  <c r="AC44" i="23" s="1"/>
  <c r="AB29" i="23"/>
  <c r="AB44" i="23" s="1"/>
  <c r="AA29" i="23"/>
  <c r="AA44" i="23" s="1"/>
  <c r="Z29" i="23"/>
  <c r="Z44" i="23" s="1"/>
  <c r="Y29" i="23"/>
  <c r="Y44" i="23" s="1"/>
  <c r="X29" i="23"/>
  <c r="X44" i="23" s="1"/>
  <c r="W29" i="23"/>
  <c r="W44" i="23" s="1"/>
  <c r="V29" i="23"/>
  <c r="V44" i="23" s="1"/>
  <c r="U29" i="23"/>
  <c r="U44" i="23" s="1"/>
  <c r="T29" i="23"/>
  <c r="T44" i="23" s="1"/>
  <c r="S29" i="23"/>
  <c r="S44" i="23" s="1"/>
  <c r="R29" i="23"/>
  <c r="R44" i="23" s="1"/>
  <c r="Q29" i="23"/>
  <c r="Q44" i="23" s="1"/>
  <c r="P29" i="23"/>
  <c r="P44" i="23" s="1"/>
  <c r="O29" i="23"/>
  <c r="O44" i="23" s="1"/>
  <c r="N29" i="23"/>
  <c r="N44" i="23" s="1"/>
  <c r="M29" i="23"/>
  <c r="M44" i="23" s="1"/>
  <c r="L29" i="23"/>
  <c r="L44" i="23" s="1"/>
  <c r="K29" i="23"/>
  <c r="K44" i="23" s="1"/>
  <c r="J29" i="23"/>
  <c r="J44" i="23" s="1"/>
  <c r="G29" i="23"/>
  <c r="G44" i="23" s="1"/>
  <c r="F29" i="23"/>
  <c r="F44" i="23" s="1"/>
  <c r="E29" i="23"/>
  <c r="E44" i="23" s="1"/>
  <c r="D29" i="23"/>
  <c r="D44" i="23" s="1"/>
  <c r="AE26" i="23"/>
  <c r="AE36" i="23" s="1"/>
  <c r="AD26" i="23"/>
  <c r="AD36" i="23" s="1"/>
  <c r="AC26" i="23"/>
  <c r="AB26" i="23"/>
  <c r="AA26" i="23"/>
  <c r="AA36" i="23" s="1"/>
  <c r="Z26" i="23"/>
  <c r="Y26" i="23"/>
  <c r="Y36" i="23" s="1"/>
  <c r="X26" i="23"/>
  <c r="X36" i="23" s="1"/>
  <c r="W26" i="23"/>
  <c r="W36" i="23" s="1"/>
  <c r="V26" i="23"/>
  <c r="U26" i="23"/>
  <c r="U36" i="23" s="1"/>
  <c r="T26" i="23"/>
  <c r="T36" i="23" s="1"/>
  <c r="S26" i="23"/>
  <c r="S36" i="23" s="1"/>
  <c r="R26" i="23"/>
  <c r="Q26" i="23"/>
  <c r="Q36" i="23" s="1"/>
  <c r="P26" i="23"/>
  <c r="P36" i="23" s="1"/>
  <c r="O26" i="23"/>
  <c r="O36" i="23" s="1"/>
  <c r="N26" i="23"/>
  <c r="M26" i="23"/>
  <c r="M36" i="23" s="1"/>
  <c r="L26" i="23"/>
  <c r="K26" i="23"/>
  <c r="K36" i="23" s="1"/>
  <c r="J26" i="23"/>
  <c r="G26" i="23"/>
  <c r="G36" i="23" s="1"/>
  <c r="F26" i="23"/>
  <c r="F37" i="23" s="1"/>
  <c r="E26" i="23"/>
  <c r="D26" i="23"/>
  <c r="AD45" i="22"/>
  <c r="AC45" i="22"/>
  <c r="AB45" i="22"/>
  <c r="H45" i="22"/>
  <c r="G45" i="22"/>
  <c r="F45" i="22"/>
  <c r="E45" i="22"/>
  <c r="D45" i="22"/>
  <c r="AD43" i="22"/>
  <c r="AC43" i="22"/>
  <c r="AB43" i="22"/>
  <c r="H43" i="22"/>
  <c r="G43" i="22"/>
  <c r="F43" i="22"/>
  <c r="E43" i="22"/>
  <c r="D43" i="22"/>
  <c r="AD42" i="22"/>
  <c r="AC42" i="22"/>
  <c r="AB42" i="22"/>
  <c r="H42" i="22"/>
  <c r="G42" i="22"/>
  <c r="F42" i="22"/>
  <c r="E42" i="22"/>
  <c r="D42" i="22"/>
  <c r="AD40" i="22"/>
  <c r="AC40" i="22"/>
  <c r="AB40" i="22"/>
  <c r="H40" i="22"/>
  <c r="G40" i="22"/>
  <c r="F40" i="22"/>
  <c r="E40" i="22"/>
  <c r="D40" i="22"/>
  <c r="AD39" i="22"/>
  <c r="AC39" i="22"/>
  <c r="AB39" i="22"/>
  <c r="H39" i="22"/>
  <c r="G39" i="22"/>
  <c r="F39" i="22"/>
  <c r="E39" i="22"/>
  <c r="D39" i="22"/>
  <c r="AD38" i="22"/>
  <c r="AC38" i="22"/>
  <c r="AB38" i="22"/>
  <c r="H38" i="22"/>
  <c r="G38" i="22"/>
  <c r="F38" i="22"/>
  <c r="E38" i="22"/>
  <c r="D38" i="22"/>
  <c r="AB35" i="22"/>
  <c r="H35" i="22"/>
  <c r="G35" i="22"/>
  <c r="F35" i="22"/>
  <c r="E35" i="22"/>
  <c r="D35" i="22"/>
  <c r="AB34" i="22"/>
  <c r="H34" i="22"/>
  <c r="G34" i="22"/>
  <c r="F34" i="22"/>
  <c r="E34" i="22"/>
  <c r="D34" i="22"/>
  <c r="AB33" i="22"/>
  <c r="H33" i="22"/>
  <c r="G33" i="22"/>
  <c r="F33" i="22"/>
  <c r="E33" i="22"/>
  <c r="D33" i="22"/>
  <c r="AB32" i="22"/>
  <c r="H32" i="22"/>
  <c r="G32" i="22"/>
  <c r="F32" i="22"/>
  <c r="E32" i="22"/>
  <c r="D32" i="22"/>
  <c r="AE29" i="22"/>
  <c r="AD29" i="22"/>
  <c r="AD44" i="22" s="1"/>
  <c r="AC29" i="22"/>
  <c r="AC44" i="22" s="1"/>
  <c r="AB29" i="22"/>
  <c r="AB44" i="22" s="1"/>
  <c r="H29" i="22"/>
  <c r="H44" i="22" s="1"/>
  <c r="G29" i="22"/>
  <c r="G44" i="22" s="1"/>
  <c r="F29" i="22"/>
  <c r="F44" i="22" s="1"/>
  <c r="E29" i="22"/>
  <c r="E44" i="22" s="1"/>
  <c r="D29" i="22"/>
  <c r="D44" i="22" s="1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G36" i="22" s="1"/>
  <c r="F26" i="22"/>
  <c r="F37" i="22" s="1"/>
  <c r="E26" i="22"/>
  <c r="D26" i="22"/>
  <c r="D27" i="22" s="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Q29" i="21"/>
  <c r="Q44" i="21" s="1"/>
  <c r="P29" i="21"/>
  <c r="P44" i="21" s="1"/>
  <c r="O29" i="21"/>
  <c r="O44" i="21" s="1"/>
  <c r="N29" i="21"/>
  <c r="N44" i="21" s="1"/>
  <c r="M29" i="21"/>
  <c r="M44" i="21" s="1"/>
  <c r="L29" i="21"/>
  <c r="L44" i="21" s="1"/>
  <c r="K29" i="21"/>
  <c r="K44" i="21" s="1"/>
  <c r="J29" i="21"/>
  <c r="J44" i="21" s="1"/>
  <c r="I29" i="21"/>
  <c r="I44" i="21" s="1"/>
  <c r="H29" i="21"/>
  <c r="H44" i="21" s="1"/>
  <c r="G29" i="21"/>
  <c r="G44" i="21" s="1"/>
  <c r="F29" i="21"/>
  <c r="F44" i="21" s="1"/>
  <c r="E29" i="21"/>
  <c r="E44" i="21" s="1"/>
  <c r="D29" i="21"/>
  <c r="D44" i="21" s="1"/>
  <c r="S26" i="21"/>
  <c r="S27" i="21" s="1"/>
  <c r="R26" i="21"/>
  <c r="Q26" i="21"/>
  <c r="Q36" i="21" s="1"/>
  <c r="P26" i="21"/>
  <c r="O26" i="21"/>
  <c r="O36" i="21" s="1"/>
  <c r="N26" i="21"/>
  <c r="M26" i="21"/>
  <c r="M36" i="21" s="1"/>
  <c r="L26" i="21"/>
  <c r="K26" i="21"/>
  <c r="K36" i="21" s="1"/>
  <c r="J26" i="21"/>
  <c r="I26" i="21"/>
  <c r="H26" i="21"/>
  <c r="G26" i="21"/>
  <c r="G36" i="21" s="1"/>
  <c r="F26" i="21"/>
  <c r="E26" i="21"/>
  <c r="E36" i="21" s="1"/>
  <c r="D26" i="21"/>
  <c r="AC45" i="20"/>
  <c r="AB45" i="20"/>
  <c r="AA45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AC29" i="20"/>
  <c r="AC44" i="20" s="1"/>
  <c r="AB29" i="20"/>
  <c r="AB44" i="20" s="1"/>
  <c r="AA29" i="20"/>
  <c r="AA44" i="20" s="1"/>
  <c r="Z29" i="20"/>
  <c r="Z44" i="20" s="1"/>
  <c r="Y29" i="20"/>
  <c r="Y44" i="20" s="1"/>
  <c r="X29" i="20"/>
  <c r="X44" i="20" s="1"/>
  <c r="W29" i="20"/>
  <c r="W44" i="20" s="1"/>
  <c r="V29" i="20"/>
  <c r="V44" i="20" s="1"/>
  <c r="U29" i="20"/>
  <c r="U44" i="20" s="1"/>
  <c r="T29" i="20"/>
  <c r="T44" i="20" s="1"/>
  <c r="S29" i="20"/>
  <c r="S44" i="20" s="1"/>
  <c r="R29" i="20"/>
  <c r="R44" i="20" s="1"/>
  <c r="Q29" i="20"/>
  <c r="Q44" i="20" s="1"/>
  <c r="P29" i="20"/>
  <c r="P44" i="20" s="1"/>
  <c r="O29" i="20"/>
  <c r="O44" i="20" s="1"/>
  <c r="N29" i="20"/>
  <c r="N44" i="20" s="1"/>
  <c r="M29" i="20"/>
  <c r="M44" i="20" s="1"/>
  <c r="L29" i="20"/>
  <c r="L44" i="20" s="1"/>
  <c r="K29" i="20"/>
  <c r="K44" i="20" s="1"/>
  <c r="J29" i="20"/>
  <c r="J44" i="20" s="1"/>
  <c r="I29" i="20"/>
  <c r="I44" i="20" s="1"/>
  <c r="H29" i="20"/>
  <c r="H44" i="20" s="1"/>
  <c r="G29" i="20"/>
  <c r="G44" i="20" s="1"/>
  <c r="F29" i="20"/>
  <c r="F44" i="20" s="1"/>
  <c r="E29" i="20"/>
  <c r="E44" i="20" s="1"/>
  <c r="D29" i="20"/>
  <c r="D44" i="20" s="1"/>
  <c r="AE26" i="20"/>
  <c r="AD26" i="20"/>
  <c r="AC26" i="20"/>
  <c r="AB26" i="20"/>
  <c r="AA26" i="20"/>
  <c r="AA36" i="20" s="1"/>
  <c r="Z26" i="20"/>
  <c r="Y26" i="20"/>
  <c r="Y36" i="20" s="1"/>
  <c r="X26" i="20"/>
  <c r="W26" i="20"/>
  <c r="W36" i="20" s="1"/>
  <c r="V26" i="20"/>
  <c r="U26" i="20"/>
  <c r="U36" i="20" s="1"/>
  <c r="T26" i="20"/>
  <c r="S26" i="20"/>
  <c r="S36" i="20" s="1"/>
  <c r="R26" i="20"/>
  <c r="Q26" i="20"/>
  <c r="Q36" i="20" s="1"/>
  <c r="P26" i="20"/>
  <c r="O26" i="20"/>
  <c r="O36" i="20" s="1"/>
  <c r="N26" i="20"/>
  <c r="M26" i="20"/>
  <c r="M36" i="20" s="1"/>
  <c r="L26" i="20"/>
  <c r="K26" i="20"/>
  <c r="K36" i="20" s="1"/>
  <c r="J26" i="20"/>
  <c r="I26" i="20"/>
  <c r="I36" i="20" s="1"/>
  <c r="H26" i="20"/>
  <c r="G26" i="20"/>
  <c r="G36" i="20" s="1"/>
  <c r="F26" i="20"/>
  <c r="F37" i="20" s="1"/>
  <c r="E26" i="20"/>
  <c r="E30" i="20" s="1"/>
  <c r="E31" i="20" s="1"/>
  <c r="D26" i="20"/>
  <c r="D27" i="20" s="1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AE29" i="19"/>
  <c r="AD29" i="19"/>
  <c r="AD44" i="19" s="1"/>
  <c r="AC29" i="19"/>
  <c r="AC44" i="19" s="1"/>
  <c r="AB29" i="19"/>
  <c r="AB44" i="19" s="1"/>
  <c r="AA29" i="19"/>
  <c r="AA44" i="19" s="1"/>
  <c r="Z29" i="19"/>
  <c r="Z44" i="19" s="1"/>
  <c r="Y29" i="19"/>
  <c r="Y44" i="19" s="1"/>
  <c r="X29" i="19"/>
  <c r="X44" i="19" s="1"/>
  <c r="W44" i="19"/>
  <c r="V44" i="19"/>
  <c r="U29" i="19"/>
  <c r="U44" i="19" s="1"/>
  <c r="T29" i="19"/>
  <c r="T44" i="19" s="1"/>
  <c r="S29" i="19"/>
  <c r="S44" i="19" s="1"/>
  <c r="R29" i="19"/>
  <c r="R44" i="19" s="1"/>
  <c r="Q29" i="19"/>
  <c r="Q44" i="19" s="1"/>
  <c r="P29" i="19"/>
  <c r="P44" i="19" s="1"/>
  <c r="O29" i="19"/>
  <c r="O44" i="19" s="1"/>
  <c r="N29" i="19"/>
  <c r="N44" i="19" s="1"/>
  <c r="M29" i="19"/>
  <c r="M44" i="19" s="1"/>
  <c r="L29" i="19"/>
  <c r="L44" i="19" s="1"/>
  <c r="K29" i="19"/>
  <c r="K44" i="19" s="1"/>
  <c r="J29" i="19"/>
  <c r="J44" i="19" s="1"/>
  <c r="I29" i="19"/>
  <c r="I44" i="19" s="1"/>
  <c r="H29" i="19"/>
  <c r="H44" i="19" s="1"/>
  <c r="G29" i="19"/>
  <c r="G44" i="19" s="1"/>
  <c r="F29" i="19"/>
  <c r="F44" i="19" s="1"/>
  <c r="E29" i="19"/>
  <c r="E44" i="19" s="1"/>
  <c r="D29" i="19"/>
  <c r="D44" i="19" s="1"/>
  <c r="AB26" i="19"/>
  <c r="AA26" i="19"/>
  <c r="AA36" i="19" s="1"/>
  <c r="Z26" i="19"/>
  <c r="Y26" i="19"/>
  <c r="Y36" i="19" s="1"/>
  <c r="X26" i="19"/>
  <c r="W26" i="19"/>
  <c r="W36" i="19" s="1"/>
  <c r="V26" i="19"/>
  <c r="U26" i="19"/>
  <c r="U36" i="19" s="1"/>
  <c r="T26" i="19"/>
  <c r="S26" i="19"/>
  <c r="S36" i="19" s="1"/>
  <c r="R26" i="19"/>
  <c r="R36" i="19" s="1"/>
  <c r="Q26" i="19"/>
  <c r="Q36" i="19" s="1"/>
  <c r="P26" i="19"/>
  <c r="O26" i="19"/>
  <c r="O36" i="19" s="1"/>
  <c r="N26" i="19"/>
  <c r="M26" i="19"/>
  <c r="M36" i="19" s="1"/>
  <c r="L26" i="19"/>
  <c r="K26" i="19"/>
  <c r="K36" i="19" s="1"/>
  <c r="J26" i="19"/>
  <c r="J36" i="19" s="1"/>
  <c r="I26" i="19"/>
  <c r="I36" i="19" s="1"/>
  <c r="H26" i="19"/>
  <c r="G26" i="19"/>
  <c r="G36" i="19" s="1"/>
  <c r="F26" i="19"/>
  <c r="E26" i="19"/>
  <c r="E36" i="19" s="1"/>
  <c r="D26" i="19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AC29" i="18"/>
  <c r="AC44" i="18" s="1"/>
  <c r="AB29" i="18"/>
  <c r="AB44" i="18" s="1"/>
  <c r="AA29" i="18"/>
  <c r="AA44" i="18" s="1"/>
  <c r="Z29" i="18"/>
  <c r="Z44" i="18" s="1"/>
  <c r="Y29" i="18"/>
  <c r="Y44" i="18" s="1"/>
  <c r="X29" i="18"/>
  <c r="X44" i="18" s="1"/>
  <c r="W29" i="18"/>
  <c r="W44" i="18" s="1"/>
  <c r="V29" i="18"/>
  <c r="V44" i="18" s="1"/>
  <c r="U29" i="18"/>
  <c r="U44" i="18" s="1"/>
  <c r="T29" i="18"/>
  <c r="T44" i="18" s="1"/>
  <c r="S29" i="18"/>
  <c r="S44" i="18" s="1"/>
  <c r="R29" i="18"/>
  <c r="R44" i="18" s="1"/>
  <c r="Q29" i="18"/>
  <c r="Q44" i="18" s="1"/>
  <c r="P29" i="18"/>
  <c r="P44" i="18" s="1"/>
  <c r="O29" i="18"/>
  <c r="O44" i="18" s="1"/>
  <c r="N29" i="18"/>
  <c r="N44" i="18" s="1"/>
  <c r="M29" i="18"/>
  <c r="M44" i="18" s="1"/>
  <c r="L29" i="18"/>
  <c r="L44" i="18" s="1"/>
  <c r="K29" i="18"/>
  <c r="K44" i="18" s="1"/>
  <c r="J29" i="18"/>
  <c r="J44" i="18" s="1"/>
  <c r="I29" i="18"/>
  <c r="I44" i="18" s="1"/>
  <c r="H29" i="18"/>
  <c r="H44" i="18" s="1"/>
  <c r="G29" i="18"/>
  <c r="G44" i="18" s="1"/>
  <c r="F29" i="18"/>
  <c r="F44" i="18" s="1"/>
  <c r="E29" i="18"/>
  <c r="E44" i="18" s="1"/>
  <c r="D29" i="18"/>
  <c r="D44" i="18" s="1"/>
  <c r="AE26" i="18"/>
  <c r="AD26" i="18"/>
  <c r="AC26" i="18"/>
  <c r="AB26" i="18"/>
  <c r="AA26" i="18"/>
  <c r="AA36" i="18" s="1"/>
  <c r="Z26" i="18"/>
  <c r="Y26" i="18"/>
  <c r="Y36" i="18" s="1"/>
  <c r="X26" i="18"/>
  <c r="W26" i="18"/>
  <c r="W36" i="18" s="1"/>
  <c r="V26" i="18"/>
  <c r="U26" i="18"/>
  <c r="T26" i="18"/>
  <c r="S26" i="18"/>
  <c r="S36" i="18" s="1"/>
  <c r="R26" i="18"/>
  <c r="Q26" i="18"/>
  <c r="P26" i="18"/>
  <c r="O26" i="18"/>
  <c r="O36" i="18" s="1"/>
  <c r="N26" i="18"/>
  <c r="M26" i="18"/>
  <c r="L26" i="18"/>
  <c r="K26" i="18"/>
  <c r="K36" i="18" s="1"/>
  <c r="J26" i="18"/>
  <c r="I26" i="18"/>
  <c r="I36" i="18" s="1"/>
  <c r="H26" i="18"/>
  <c r="G26" i="18"/>
  <c r="G36" i="18" s="1"/>
  <c r="F26" i="18"/>
  <c r="F37" i="18" s="1"/>
  <c r="E26" i="18"/>
  <c r="E27" i="18" s="1"/>
  <c r="D26" i="18"/>
  <c r="D27" i="18" s="1"/>
  <c r="X45" i="17"/>
  <c r="K45" i="17"/>
  <c r="J45" i="17"/>
  <c r="I45" i="17"/>
  <c r="H45" i="17"/>
  <c r="G45" i="17"/>
  <c r="F45" i="17"/>
  <c r="E45" i="17"/>
  <c r="D45" i="17"/>
  <c r="X43" i="17"/>
  <c r="K43" i="17"/>
  <c r="J43" i="17"/>
  <c r="I43" i="17"/>
  <c r="H43" i="17"/>
  <c r="G43" i="17"/>
  <c r="F43" i="17"/>
  <c r="E43" i="17"/>
  <c r="D43" i="17"/>
  <c r="X42" i="17"/>
  <c r="K42" i="17"/>
  <c r="J42" i="17"/>
  <c r="I42" i="17"/>
  <c r="H42" i="17"/>
  <c r="G42" i="17"/>
  <c r="F42" i="17"/>
  <c r="E42" i="17"/>
  <c r="D42" i="17"/>
  <c r="X40" i="17"/>
  <c r="K40" i="17"/>
  <c r="J40" i="17"/>
  <c r="I40" i="17"/>
  <c r="H40" i="17"/>
  <c r="G40" i="17"/>
  <c r="F40" i="17"/>
  <c r="E40" i="17"/>
  <c r="D40" i="17"/>
  <c r="X39" i="17"/>
  <c r="K39" i="17"/>
  <c r="J39" i="17"/>
  <c r="I39" i="17"/>
  <c r="H39" i="17"/>
  <c r="G39" i="17"/>
  <c r="F39" i="17"/>
  <c r="E39" i="17"/>
  <c r="D39" i="17"/>
  <c r="X38" i="17"/>
  <c r="K38" i="17"/>
  <c r="J38" i="17"/>
  <c r="I38" i="17"/>
  <c r="H38" i="17"/>
  <c r="G38" i="17"/>
  <c r="F38" i="17"/>
  <c r="E38" i="17"/>
  <c r="D38" i="17"/>
  <c r="K35" i="17"/>
  <c r="J35" i="17"/>
  <c r="I35" i="17"/>
  <c r="H35" i="17"/>
  <c r="G35" i="17"/>
  <c r="F35" i="17"/>
  <c r="E35" i="17"/>
  <c r="D35" i="17"/>
  <c r="K34" i="17"/>
  <c r="J34" i="17"/>
  <c r="I34" i="17"/>
  <c r="H34" i="17"/>
  <c r="G34" i="17"/>
  <c r="F34" i="17"/>
  <c r="E34" i="17"/>
  <c r="D34" i="17"/>
  <c r="K33" i="17"/>
  <c r="J33" i="17"/>
  <c r="I33" i="17"/>
  <c r="H33" i="17"/>
  <c r="G33" i="17"/>
  <c r="F33" i="17"/>
  <c r="E33" i="17"/>
  <c r="D33" i="17"/>
  <c r="K32" i="17"/>
  <c r="J32" i="17"/>
  <c r="I32" i="17"/>
  <c r="H32" i="17"/>
  <c r="G32" i="17"/>
  <c r="F32" i="17"/>
  <c r="E32" i="17"/>
  <c r="D32" i="17"/>
  <c r="Z29" i="17"/>
  <c r="Y29" i="17"/>
  <c r="X29" i="17"/>
  <c r="X44" i="17" s="1"/>
  <c r="K29" i="17"/>
  <c r="K44" i="17" s="1"/>
  <c r="J29" i="17"/>
  <c r="J44" i="17" s="1"/>
  <c r="I29" i="17"/>
  <c r="I44" i="17" s="1"/>
  <c r="H29" i="17"/>
  <c r="H44" i="17" s="1"/>
  <c r="G29" i="17"/>
  <c r="G44" i="17" s="1"/>
  <c r="F29" i="17"/>
  <c r="F44" i="17" s="1"/>
  <c r="E29" i="17"/>
  <c r="E44" i="17" s="1"/>
  <c r="D29" i="17"/>
  <c r="D44" i="17" s="1"/>
  <c r="Z26" i="17"/>
  <c r="Y26" i="17"/>
  <c r="X26" i="17"/>
  <c r="K26" i="17"/>
  <c r="J26" i="17"/>
  <c r="J36" i="17" s="1"/>
  <c r="I26" i="17"/>
  <c r="I36" i="17" s="1"/>
  <c r="H26" i="17"/>
  <c r="H36" i="17" s="1"/>
  <c r="G26" i="17"/>
  <c r="G36" i="17" s="1"/>
  <c r="F26" i="17"/>
  <c r="F36" i="17" s="1"/>
  <c r="E26" i="17"/>
  <c r="E36" i="17" s="1"/>
  <c r="D26" i="17"/>
  <c r="D36" i="17" s="1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A40" i="16"/>
  <c r="Z40" i="16"/>
  <c r="Y40" i="16"/>
  <c r="X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A39" i="16"/>
  <c r="Z39" i="16"/>
  <c r="Y39" i="16"/>
  <c r="X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Z34" i="16"/>
  <c r="Y34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Z33" i="16"/>
  <c r="Y33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C29" i="16"/>
  <c r="AB29" i="16"/>
  <c r="AA29" i="16"/>
  <c r="AA44" i="16" s="1"/>
  <c r="Z29" i="16"/>
  <c r="Z44" i="16" s="1"/>
  <c r="Y29" i="16"/>
  <c r="Y44" i="16" s="1"/>
  <c r="X29" i="16"/>
  <c r="X44" i="16" s="1"/>
  <c r="W29" i="16"/>
  <c r="W44" i="16" s="1"/>
  <c r="V29" i="16"/>
  <c r="V44" i="16" s="1"/>
  <c r="U29" i="16"/>
  <c r="U44" i="16" s="1"/>
  <c r="T29" i="16"/>
  <c r="T44" i="16" s="1"/>
  <c r="S29" i="16"/>
  <c r="S44" i="16" s="1"/>
  <c r="R29" i="16"/>
  <c r="R44" i="16" s="1"/>
  <c r="Q29" i="16"/>
  <c r="Q44" i="16" s="1"/>
  <c r="P29" i="16"/>
  <c r="P44" i="16" s="1"/>
  <c r="O29" i="16"/>
  <c r="O44" i="16" s="1"/>
  <c r="N29" i="16"/>
  <c r="N44" i="16" s="1"/>
  <c r="M29" i="16"/>
  <c r="M44" i="16" s="1"/>
  <c r="L29" i="16"/>
  <c r="L44" i="16" s="1"/>
  <c r="K29" i="16"/>
  <c r="K44" i="16" s="1"/>
  <c r="J29" i="16"/>
  <c r="J44" i="16" s="1"/>
  <c r="I29" i="16"/>
  <c r="I44" i="16" s="1"/>
  <c r="H29" i="16"/>
  <c r="H44" i="16" s="1"/>
  <c r="G29" i="16"/>
  <c r="G44" i="16" s="1"/>
  <c r="F29" i="16"/>
  <c r="F44" i="16" s="1"/>
  <c r="E29" i="16"/>
  <c r="E44" i="16" s="1"/>
  <c r="D29" i="16"/>
  <c r="D44" i="16" s="1"/>
  <c r="Z26" i="16"/>
  <c r="Y26" i="16"/>
  <c r="X26" i="16"/>
  <c r="X36" i="16" s="1"/>
  <c r="W26" i="16"/>
  <c r="W36" i="16" s="1"/>
  <c r="V26" i="16"/>
  <c r="U26" i="16"/>
  <c r="T26" i="16"/>
  <c r="T36" i="16" s="1"/>
  <c r="S26" i="16"/>
  <c r="S36" i="16" s="1"/>
  <c r="R26" i="16"/>
  <c r="Q26" i="16"/>
  <c r="P26" i="16"/>
  <c r="P36" i="16" s="1"/>
  <c r="O26" i="16"/>
  <c r="O36" i="16" s="1"/>
  <c r="N26" i="16"/>
  <c r="M26" i="16"/>
  <c r="M36" i="16" s="1"/>
  <c r="L26" i="16"/>
  <c r="L36" i="16" s="1"/>
  <c r="K26" i="16"/>
  <c r="K36" i="16" s="1"/>
  <c r="J26" i="16"/>
  <c r="I26" i="16"/>
  <c r="H26" i="16"/>
  <c r="H36" i="16" s="1"/>
  <c r="G26" i="16"/>
  <c r="G36" i="16" s="1"/>
  <c r="F26" i="16"/>
  <c r="E26" i="16"/>
  <c r="E37" i="16" s="1"/>
  <c r="D26" i="16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T29" i="15"/>
  <c r="S29" i="15"/>
  <c r="S44" i="15" s="1"/>
  <c r="R29" i="15"/>
  <c r="R44" i="15" s="1"/>
  <c r="Q29" i="15"/>
  <c r="Q44" i="15" s="1"/>
  <c r="P29" i="15"/>
  <c r="P44" i="15" s="1"/>
  <c r="O29" i="15"/>
  <c r="O44" i="15" s="1"/>
  <c r="N29" i="15"/>
  <c r="N44" i="15" s="1"/>
  <c r="M29" i="15"/>
  <c r="M44" i="15" s="1"/>
  <c r="L29" i="15"/>
  <c r="L44" i="15" s="1"/>
  <c r="K29" i="15"/>
  <c r="K44" i="15" s="1"/>
  <c r="J29" i="15"/>
  <c r="J44" i="15" s="1"/>
  <c r="I29" i="15"/>
  <c r="I44" i="15" s="1"/>
  <c r="H29" i="15"/>
  <c r="H44" i="15" s="1"/>
  <c r="G29" i="15"/>
  <c r="G44" i="15" s="1"/>
  <c r="F29" i="15"/>
  <c r="F44" i="15" s="1"/>
  <c r="E29" i="15"/>
  <c r="E44" i="15" s="1"/>
  <c r="D29" i="15"/>
  <c r="D44" i="15" s="1"/>
  <c r="Q26" i="15"/>
  <c r="P26" i="15"/>
  <c r="P36" i="15" s="1"/>
  <c r="O26" i="15"/>
  <c r="N26" i="15"/>
  <c r="N36" i="15" s="1"/>
  <c r="M26" i="15"/>
  <c r="L26" i="15"/>
  <c r="L36" i="15" s="1"/>
  <c r="K26" i="15"/>
  <c r="J26" i="15"/>
  <c r="J36" i="15" s="1"/>
  <c r="I26" i="15"/>
  <c r="H26" i="15"/>
  <c r="H36" i="15" s="1"/>
  <c r="G26" i="15"/>
  <c r="F26" i="15"/>
  <c r="F36" i="15" s="1"/>
  <c r="E26" i="15"/>
  <c r="D26" i="15"/>
  <c r="D36" i="15" s="1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AA29" i="14"/>
  <c r="AA44" i="14" s="1"/>
  <c r="Z29" i="14"/>
  <c r="Z44" i="14" s="1"/>
  <c r="Y29" i="14"/>
  <c r="Y44" i="14" s="1"/>
  <c r="X29" i="14"/>
  <c r="X44" i="14" s="1"/>
  <c r="W29" i="14"/>
  <c r="W44" i="14" s="1"/>
  <c r="V29" i="14"/>
  <c r="V44" i="14" s="1"/>
  <c r="U29" i="14"/>
  <c r="U44" i="14" s="1"/>
  <c r="T29" i="14"/>
  <c r="T44" i="14" s="1"/>
  <c r="S29" i="14"/>
  <c r="S44" i="14" s="1"/>
  <c r="R29" i="14"/>
  <c r="R44" i="14" s="1"/>
  <c r="Q29" i="14"/>
  <c r="Q44" i="14" s="1"/>
  <c r="P29" i="14"/>
  <c r="P44" i="14" s="1"/>
  <c r="O29" i="14"/>
  <c r="O44" i="14" s="1"/>
  <c r="N29" i="14"/>
  <c r="N44" i="14" s="1"/>
  <c r="M29" i="14"/>
  <c r="M44" i="14" s="1"/>
  <c r="L29" i="14"/>
  <c r="L44" i="14" s="1"/>
  <c r="K29" i="14"/>
  <c r="K44" i="14" s="1"/>
  <c r="J29" i="14"/>
  <c r="J44" i="14" s="1"/>
  <c r="I29" i="14"/>
  <c r="I44" i="14" s="1"/>
  <c r="H29" i="14"/>
  <c r="H44" i="14" s="1"/>
  <c r="G29" i="14"/>
  <c r="G44" i="14" s="1"/>
  <c r="F29" i="14"/>
  <c r="F44" i="14" s="1"/>
  <c r="E29" i="14"/>
  <c r="E44" i="14" s="1"/>
  <c r="D29" i="14"/>
  <c r="D44" i="14" s="1"/>
  <c r="AB26" i="14"/>
  <c r="AA26" i="14"/>
  <c r="Z26" i="14"/>
  <c r="Z36" i="14" s="1"/>
  <c r="Y26" i="14"/>
  <c r="X26" i="14"/>
  <c r="X36" i="14" s="1"/>
  <c r="W26" i="14"/>
  <c r="V26" i="14"/>
  <c r="V36" i="14" s="1"/>
  <c r="U26" i="14"/>
  <c r="T26" i="14"/>
  <c r="T36" i="14" s="1"/>
  <c r="S26" i="14"/>
  <c r="R26" i="14"/>
  <c r="R36" i="14" s="1"/>
  <c r="Q26" i="14"/>
  <c r="P26" i="14"/>
  <c r="P36" i="14" s="1"/>
  <c r="O26" i="14"/>
  <c r="N26" i="14"/>
  <c r="N36" i="14" s="1"/>
  <c r="M26" i="14"/>
  <c r="L26" i="14"/>
  <c r="L36" i="14" s="1"/>
  <c r="K26" i="14"/>
  <c r="J26" i="14"/>
  <c r="J36" i="14" s="1"/>
  <c r="I26" i="14"/>
  <c r="H26" i="14"/>
  <c r="H36" i="14" s="1"/>
  <c r="G26" i="14"/>
  <c r="F26" i="14"/>
  <c r="E26" i="14"/>
  <c r="E27" i="14" s="1"/>
  <c r="D26" i="14"/>
  <c r="D36" i="14" s="1"/>
  <c r="H45" i="13"/>
  <c r="G45" i="13"/>
  <c r="F45" i="13"/>
  <c r="E45" i="13"/>
  <c r="H43" i="13"/>
  <c r="G43" i="13"/>
  <c r="F43" i="13"/>
  <c r="E43" i="13"/>
  <c r="H42" i="13"/>
  <c r="G42" i="13"/>
  <c r="F42" i="13"/>
  <c r="E42" i="13"/>
  <c r="H40" i="13"/>
  <c r="G40" i="13"/>
  <c r="F40" i="13"/>
  <c r="E40" i="13"/>
  <c r="H39" i="13"/>
  <c r="G39" i="13"/>
  <c r="F39" i="13"/>
  <c r="E39" i="13"/>
  <c r="H38" i="13"/>
  <c r="G38" i="13"/>
  <c r="F38" i="13"/>
  <c r="E38" i="13"/>
  <c r="H35" i="13"/>
  <c r="G35" i="13"/>
  <c r="F35" i="13"/>
  <c r="E35" i="13"/>
  <c r="H34" i="13"/>
  <c r="G34" i="13"/>
  <c r="F34" i="13"/>
  <c r="E34" i="13"/>
  <c r="H33" i="13"/>
  <c r="G33" i="13"/>
  <c r="F33" i="13"/>
  <c r="E33" i="13"/>
  <c r="H32" i="13"/>
  <c r="G32" i="13"/>
  <c r="F32" i="13"/>
  <c r="E32" i="13"/>
  <c r="H29" i="13"/>
  <c r="H44" i="13" s="1"/>
  <c r="G29" i="13"/>
  <c r="G44" i="13" s="1"/>
  <c r="F29" i="13"/>
  <c r="F44" i="13" s="1"/>
  <c r="E29" i="13"/>
  <c r="E44" i="13" s="1"/>
  <c r="J26" i="13"/>
  <c r="I26" i="13"/>
  <c r="H26" i="13"/>
  <c r="H36" i="13" s="1"/>
  <c r="G26" i="13"/>
  <c r="F26" i="13"/>
  <c r="F36" i="13" s="1"/>
  <c r="E26" i="13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AA29" i="12"/>
  <c r="AA44" i="12" s="1"/>
  <c r="Z29" i="12"/>
  <c r="Z44" i="12" s="1"/>
  <c r="Y29" i="12"/>
  <c r="Y44" i="12" s="1"/>
  <c r="X29" i="12"/>
  <c r="X44" i="12" s="1"/>
  <c r="W29" i="12"/>
  <c r="W44" i="12" s="1"/>
  <c r="V29" i="12"/>
  <c r="V44" i="12" s="1"/>
  <c r="U29" i="12"/>
  <c r="U44" i="12" s="1"/>
  <c r="T29" i="12"/>
  <c r="T44" i="12" s="1"/>
  <c r="S29" i="12"/>
  <c r="S44" i="12" s="1"/>
  <c r="R29" i="12"/>
  <c r="R44" i="12" s="1"/>
  <c r="Q29" i="12"/>
  <c r="Q44" i="12" s="1"/>
  <c r="P29" i="12"/>
  <c r="P44" i="12" s="1"/>
  <c r="O29" i="12"/>
  <c r="O44" i="12" s="1"/>
  <c r="N29" i="12"/>
  <c r="N44" i="12" s="1"/>
  <c r="M29" i="12"/>
  <c r="M44" i="12" s="1"/>
  <c r="L29" i="12"/>
  <c r="L44" i="12" s="1"/>
  <c r="K29" i="12"/>
  <c r="K44" i="12" s="1"/>
  <c r="J29" i="12"/>
  <c r="J44" i="12" s="1"/>
  <c r="I29" i="12"/>
  <c r="I44" i="12" s="1"/>
  <c r="H29" i="12"/>
  <c r="H44" i="12" s="1"/>
  <c r="G29" i="12"/>
  <c r="G44" i="12" s="1"/>
  <c r="F29" i="12"/>
  <c r="F44" i="12" s="1"/>
  <c r="E29" i="12"/>
  <c r="E44" i="12" s="1"/>
  <c r="D29" i="12"/>
  <c r="D44" i="12" s="1"/>
  <c r="AA26" i="12"/>
  <c r="AA36" i="12" s="1"/>
  <c r="Z26" i="12"/>
  <c r="Y26" i="12"/>
  <c r="X26" i="12"/>
  <c r="W26" i="12"/>
  <c r="W36" i="12" s="1"/>
  <c r="V26" i="12"/>
  <c r="U26" i="12"/>
  <c r="T26" i="12"/>
  <c r="S26" i="12"/>
  <c r="S36" i="12" s="1"/>
  <c r="R26" i="12"/>
  <c r="Q26" i="12"/>
  <c r="P26" i="12"/>
  <c r="O26" i="12"/>
  <c r="O36" i="12" s="1"/>
  <c r="N26" i="12"/>
  <c r="M26" i="12"/>
  <c r="L26" i="12"/>
  <c r="K26" i="12"/>
  <c r="K36" i="12" s="1"/>
  <c r="J26" i="12"/>
  <c r="I26" i="12"/>
  <c r="H26" i="12"/>
  <c r="G26" i="12"/>
  <c r="G36" i="12" s="1"/>
  <c r="F26" i="12"/>
  <c r="F37" i="12" s="1"/>
  <c r="E26" i="12"/>
  <c r="D26" i="12"/>
  <c r="D27" i="12" s="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M35" i="11"/>
  <c r="L35" i="11"/>
  <c r="K35" i="11"/>
  <c r="J35" i="11"/>
  <c r="I35" i="11"/>
  <c r="H35" i="11"/>
  <c r="F35" i="11"/>
  <c r="E35" i="11"/>
  <c r="D35" i="11"/>
  <c r="M34" i="11"/>
  <c r="L34" i="11"/>
  <c r="K34" i="11"/>
  <c r="J34" i="11"/>
  <c r="I34" i="11"/>
  <c r="H34" i="11"/>
  <c r="F34" i="11"/>
  <c r="E34" i="11"/>
  <c r="D34" i="11"/>
  <c r="M33" i="11"/>
  <c r="L33" i="11"/>
  <c r="K33" i="11"/>
  <c r="J33" i="11"/>
  <c r="I33" i="11"/>
  <c r="H33" i="11"/>
  <c r="F33" i="11"/>
  <c r="E33" i="11"/>
  <c r="D33" i="11"/>
  <c r="M32" i="11"/>
  <c r="L32" i="11"/>
  <c r="K32" i="11"/>
  <c r="J32" i="11"/>
  <c r="I32" i="11"/>
  <c r="H32" i="11"/>
  <c r="F32" i="11"/>
  <c r="E32" i="11"/>
  <c r="D32" i="11"/>
  <c r="Q29" i="11"/>
  <c r="P29" i="11"/>
  <c r="P44" i="11" s="1"/>
  <c r="O29" i="11"/>
  <c r="O44" i="11" s="1"/>
  <c r="N29" i="11"/>
  <c r="N44" i="11" s="1"/>
  <c r="M29" i="11"/>
  <c r="M44" i="11" s="1"/>
  <c r="L29" i="11"/>
  <c r="L44" i="11" s="1"/>
  <c r="K29" i="11"/>
  <c r="K44" i="11" s="1"/>
  <c r="J29" i="11"/>
  <c r="J44" i="11" s="1"/>
  <c r="I29" i="11"/>
  <c r="I44" i="11" s="1"/>
  <c r="H29" i="11"/>
  <c r="H44" i="11" s="1"/>
  <c r="G44" i="11"/>
  <c r="F29" i="11"/>
  <c r="F44" i="11" s="1"/>
  <c r="E29" i="11"/>
  <c r="E44" i="11" s="1"/>
  <c r="D29" i="11"/>
  <c r="D44" i="11" s="1"/>
  <c r="M36" i="11"/>
  <c r="L36" i="11"/>
  <c r="K26" i="11"/>
  <c r="K36" i="11" s="1"/>
  <c r="J26" i="11"/>
  <c r="I26" i="11"/>
  <c r="I36" i="11" s="1"/>
  <c r="H26" i="11"/>
  <c r="H36" i="11" s="1"/>
  <c r="G26" i="11"/>
  <c r="F26" i="11"/>
  <c r="E26" i="11"/>
  <c r="E36" i="11" s="1"/>
  <c r="D26" i="11"/>
  <c r="D36" i="11" s="1"/>
  <c r="D45" i="10"/>
  <c r="D43" i="10"/>
  <c r="D42" i="10"/>
  <c r="F40" i="10"/>
  <c r="E40" i="10"/>
  <c r="D40" i="10"/>
  <c r="F39" i="10"/>
  <c r="E39" i="10"/>
  <c r="D39" i="10"/>
  <c r="E38" i="10"/>
  <c r="D38" i="10"/>
  <c r="F35" i="10"/>
  <c r="E35" i="10"/>
  <c r="D35" i="10"/>
  <c r="F34" i="10"/>
  <c r="E34" i="10"/>
  <c r="D34" i="10"/>
  <c r="F33" i="10"/>
  <c r="E33" i="10"/>
  <c r="D33" i="10"/>
  <c r="F32" i="10"/>
  <c r="E32" i="10"/>
  <c r="D32" i="10"/>
  <c r="F29" i="10"/>
  <c r="F44" i="10" s="1"/>
  <c r="E29" i="10"/>
  <c r="E44" i="10" s="1"/>
  <c r="D29" i="10"/>
  <c r="D44" i="10" s="1"/>
  <c r="F26" i="10"/>
  <c r="E26" i="10"/>
  <c r="E36" i="10" s="1"/>
  <c r="D26" i="10"/>
  <c r="D36" i="10" s="1"/>
  <c r="K45" i="9"/>
  <c r="J45" i="9"/>
  <c r="H45" i="9"/>
  <c r="G45" i="9"/>
  <c r="F45" i="9"/>
  <c r="E45" i="9"/>
  <c r="D45" i="9"/>
  <c r="K43" i="9"/>
  <c r="J43" i="9"/>
  <c r="H43" i="9"/>
  <c r="G43" i="9"/>
  <c r="F43" i="9"/>
  <c r="E43" i="9"/>
  <c r="D43" i="9"/>
  <c r="K42" i="9"/>
  <c r="J42" i="9"/>
  <c r="H42" i="9"/>
  <c r="G42" i="9"/>
  <c r="F42" i="9"/>
  <c r="E42" i="9"/>
  <c r="D42" i="9"/>
  <c r="K40" i="9"/>
  <c r="J40" i="9"/>
  <c r="I40" i="9"/>
  <c r="H40" i="9"/>
  <c r="G40" i="9"/>
  <c r="F40" i="9"/>
  <c r="E40" i="9"/>
  <c r="D40" i="9"/>
  <c r="K39" i="9"/>
  <c r="J39" i="9"/>
  <c r="H39" i="9"/>
  <c r="G39" i="9"/>
  <c r="F39" i="9"/>
  <c r="E39" i="9"/>
  <c r="D39" i="9"/>
  <c r="K38" i="9"/>
  <c r="J38" i="9"/>
  <c r="H38" i="9"/>
  <c r="G38" i="9"/>
  <c r="F38" i="9"/>
  <c r="E38" i="9"/>
  <c r="D38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L29" i="9"/>
  <c r="K29" i="9"/>
  <c r="K44" i="9" s="1"/>
  <c r="J29" i="9"/>
  <c r="J44" i="9" s="1"/>
  <c r="I29" i="9"/>
  <c r="I44" i="9" s="1"/>
  <c r="H29" i="9"/>
  <c r="H44" i="9" s="1"/>
  <c r="G29" i="9"/>
  <c r="G44" i="9" s="1"/>
  <c r="F29" i="9"/>
  <c r="F44" i="9" s="1"/>
  <c r="E29" i="9"/>
  <c r="E44" i="9" s="1"/>
  <c r="D29" i="9"/>
  <c r="D44" i="9" s="1"/>
  <c r="H26" i="9"/>
  <c r="G26" i="9"/>
  <c r="F26" i="9"/>
  <c r="E26" i="9"/>
  <c r="D26" i="9"/>
  <c r="D36" i="9" s="1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I39" i="8"/>
  <c r="H39" i="8"/>
  <c r="G39" i="8"/>
  <c r="F39" i="8"/>
  <c r="E39" i="8"/>
  <c r="D39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W35" i="8"/>
  <c r="V35" i="8"/>
  <c r="U35" i="8"/>
  <c r="T35" i="8"/>
  <c r="S35" i="8"/>
  <c r="R35" i="8"/>
  <c r="Q35" i="8"/>
  <c r="P35" i="8"/>
  <c r="O35" i="8"/>
  <c r="N35" i="8"/>
  <c r="M35" i="8"/>
  <c r="L35" i="8"/>
  <c r="I35" i="8"/>
  <c r="H35" i="8"/>
  <c r="G35" i="8"/>
  <c r="F35" i="8"/>
  <c r="E35" i="8"/>
  <c r="D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AA29" i="8"/>
  <c r="Z29" i="8"/>
  <c r="Z44" i="8" s="1"/>
  <c r="Y29" i="8"/>
  <c r="Y44" i="8" s="1"/>
  <c r="X29" i="8"/>
  <c r="X44" i="8" s="1"/>
  <c r="W29" i="8"/>
  <c r="W44" i="8" s="1"/>
  <c r="V29" i="8"/>
  <c r="V44" i="8" s="1"/>
  <c r="U29" i="8"/>
  <c r="U44" i="8" s="1"/>
  <c r="T29" i="8"/>
  <c r="T44" i="8" s="1"/>
  <c r="S29" i="8"/>
  <c r="S44" i="8" s="1"/>
  <c r="R29" i="8"/>
  <c r="R44" i="8" s="1"/>
  <c r="Q29" i="8"/>
  <c r="Q44" i="8" s="1"/>
  <c r="P29" i="8"/>
  <c r="P44" i="8" s="1"/>
  <c r="O29" i="8"/>
  <c r="O44" i="8" s="1"/>
  <c r="N29" i="8"/>
  <c r="N44" i="8" s="1"/>
  <c r="M29" i="8"/>
  <c r="M44" i="8" s="1"/>
  <c r="L29" i="8"/>
  <c r="L44" i="8" s="1"/>
  <c r="K29" i="8"/>
  <c r="K44" i="8" s="1"/>
  <c r="J29" i="8"/>
  <c r="J44" i="8" s="1"/>
  <c r="I29" i="8"/>
  <c r="I44" i="8" s="1"/>
  <c r="H29" i="8"/>
  <c r="H44" i="8" s="1"/>
  <c r="G29" i="8"/>
  <c r="G44" i="8" s="1"/>
  <c r="F29" i="8"/>
  <c r="F44" i="8" s="1"/>
  <c r="E29" i="8"/>
  <c r="E44" i="8" s="1"/>
  <c r="D29" i="8"/>
  <c r="D44" i="8" s="1"/>
  <c r="W26" i="8"/>
  <c r="W36" i="8" s="1"/>
  <c r="V26" i="8"/>
  <c r="U26" i="8"/>
  <c r="T26" i="8"/>
  <c r="T36" i="8" s="1"/>
  <c r="S26" i="8"/>
  <c r="R26" i="8"/>
  <c r="Q26" i="8"/>
  <c r="P26" i="8"/>
  <c r="O26" i="8"/>
  <c r="N26" i="8"/>
  <c r="M26" i="8"/>
  <c r="M36" i="8" s="1"/>
  <c r="L26" i="8"/>
  <c r="L36" i="8" s="1"/>
  <c r="K26" i="8"/>
  <c r="K36" i="8" s="1"/>
  <c r="J26" i="8"/>
  <c r="J36" i="8" s="1"/>
  <c r="I26" i="8"/>
  <c r="H26" i="8"/>
  <c r="G26" i="8"/>
  <c r="F26" i="8"/>
  <c r="F36" i="8" s="1"/>
  <c r="E26" i="8"/>
  <c r="D26" i="8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AC29" i="7"/>
  <c r="AC44" i="7" s="1"/>
  <c r="AB29" i="7"/>
  <c r="AB44" i="7" s="1"/>
  <c r="AA29" i="7"/>
  <c r="AA44" i="7" s="1"/>
  <c r="Z29" i="7"/>
  <c r="Z44" i="7" s="1"/>
  <c r="Y29" i="7"/>
  <c r="Y44" i="7" s="1"/>
  <c r="X29" i="7"/>
  <c r="X44" i="7" s="1"/>
  <c r="W29" i="7"/>
  <c r="W44" i="7" s="1"/>
  <c r="V29" i="7"/>
  <c r="V44" i="7" s="1"/>
  <c r="U29" i="7"/>
  <c r="U44" i="7" s="1"/>
  <c r="T29" i="7"/>
  <c r="T44" i="7" s="1"/>
  <c r="S29" i="7"/>
  <c r="S44" i="7" s="1"/>
  <c r="R29" i="7"/>
  <c r="R44" i="7" s="1"/>
  <c r="Q29" i="7"/>
  <c r="Q44" i="7" s="1"/>
  <c r="P29" i="7"/>
  <c r="P44" i="7" s="1"/>
  <c r="O29" i="7"/>
  <c r="O44" i="7" s="1"/>
  <c r="N29" i="7"/>
  <c r="N44" i="7" s="1"/>
  <c r="M29" i="7"/>
  <c r="M44" i="7" s="1"/>
  <c r="L29" i="7"/>
  <c r="L44" i="7" s="1"/>
  <c r="K29" i="7"/>
  <c r="K44" i="7" s="1"/>
  <c r="J29" i="7"/>
  <c r="J44" i="7" s="1"/>
  <c r="I29" i="7"/>
  <c r="I44" i="7" s="1"/>
  <c r="H29" i="7"/>
  <c r="H44" i="7" s="1"/>
  <c r="G29" i="7"/>
  <c r="G44" i="7" s="1"/>
  <c r="F29" i="7"/>
  <c r="F44" i="7" s="1"/>
  <c r="E29" i="7"/>
  <c r="E44" i="7" s="1"/>
  <c r="D29" i="7"/>
  <c r="D44" i="7" s="1"/>
  <c r="AE26" i="7"/>
  <c r="AD26" i="7"/>
  <c r="AC26" i="7"/>
  <c r="AB26" i="7"/>
  <c r="AA26" i="7"/>
  <c r="AA36" i="7" s="1"/>
  <c r="Z26" i="7"/>
  <c r="Z36" i="7" s="1"/>
  <c r="Y26" i="7"/>
  <c r="X26" i="7"/>
  <c r="W26" i="7"/>
  <c r="W36" i="7" s="1"/>
  <c r="V26" i="7"/>
  <c r="V36" i="7" s="1"/>
  <c r="U26" i="7"/>
  <c r="T26" i="7"/>
  <c r="S26" i="7"/>
  <c r="S36" i="7" s="1"/>
  <c r="R26" i="7"/>
  <c r="R36" i="7" s="1"/>
  <c r="Q26" i="7"/>
  <c r="P26" i="7"/>
  <c r="O26" i="7"/>
  <c r="O36" i="7" s="1"/>
  <c r="N26" i="7"/>
  <c r="N36" i="7" s="1"/>
  <c r="M26" i="7"/>
  <c r="L26" i="7"/>
  <c r="K26" i="7"/>
  <c r="K36" i="7" s="1"/>
  <c r="J26" i="7"/>
  <c r="J36" i="7" s="1"/>
  <c r="I26" i="7"/>
  <c r="H26" i="7"/>
  <c r="H27" i="7" s="1"/>
  <c r="G26" i="7"/>
  <c r="G36" i="7" s="1"/>
  <c r="F26" i="7"/>
  <c r="E26" i="7"/>
  <c r="D26" i="7"/>
  <c r="D27" i="7" s="1"/>
  <c r="Z45" i="5"/>
  <c r="Y45" i="5"/>
  <c r="X45" i="5"/>
  <c r="W45" i="5"/>
  <c r="V45" i="5"/>
  <c r="U45" i="5"/>
  <c r="Z43" i="5"/>
  <c r="Y43" i="5"/>
  <c r="X43" i="5"/>
  <c r="W43" i="5"/>
  <c r="V43" i="5"/>
  <c r="U43" i="5"/>
  <c r="Z42" i="5"/>
  <c r="Y42" i="5"/>
  <c r="X42" i="5"/>
  <c r="W42" i="5"/>
  <c r="V42" i="5"/>
  <c r="U42" i="5"/>
  <c r="Z40" i="5"/>
  <c r="Y40" i="5"/>
  <c r="X40" i="5"/>
  <c r="W40" i="5"/>
  <c r="V40" i="5"/>
  <c r="U40" i="5"/>
  <c r="Z39" i="5"/>
  <c r="Y39" i="5"/>
  <c r="X39" i="5"/>
  <c r="W39" i="5"/>
  <c r="V39" i="5"/>
  <c r="U39" i="5"/>
  <c r="Z38" i="5"/>
  <c r="Y38" i="5"/>
  <c r="X38" i="5"/>
  <c r="W38" i="5"/>
  <c r="V38" i="5"/>
  <c r="U38" i="5"/>
  <c r="W35" i="5"/>
  <c r="V35" i="5"/>
  <c r="U35" i="5"/>
  <c r="W34" i="5"/>
  <c r="V34" i="5"/>
  <c r="U34" i="5"/>
  <c r="W33" i="5"/>
  <c r="V33" i="5"/>
  <c r="U33" i="5"/>
  <c r="W32" i="5"/>
  <c r="V32" i="5"/>
  <c r="U32" i="5"/>
  <c r="AA29" i="5"/>
  <c r="Z29" i="5"/>
  <c r="Z44" i="5" s="1"/>
  <c r="Y29" i="5"/>
  <c r="Y44" i="5" s="1"/>
  <c r="X29" i="5"/>
  <c r="X44" i="5" s="1"/>
  <c r="W29" i="5"/>
  <c r="W44" i="5" s="1"/>
  <c r="V29" i="5"/>
  <c r="V44" i="5" s="1"/>
  <c r="U29" i="5"/>
  <c r="U44" i="5" s="1"/>
  <c r="W26" i="5"/>
  <c r="W36" i="5" s="1"/>
  <c r="V26" i="5"/>
  <c r="U26" i="5"/>
  <c r="U36" i="5" s="1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S29" i="4"/>
  <c r="S44" i="4" s="1"/>
  <c r="R29" i="4"/>
  <c r="R44" i="4" s="1"/>
  <c r="Q29" i="4"/>
  <c r="Q44" i="4" s="1"/>
  <c r="P29" i="4"/>
  <c r="P44" i="4" s="1"/>
  <c r="O29" i="4"/>
  <c r="O44" i="4" s="1"/>
  <c r="N29" i="4"/>
  <c r="N44" i="4" s="1"/>
  <c r="M29" i="4"/>
  <c r="M44" i="4" s="1"/>
  <c r="L29" i="4"/>
  <c r="L44" i="4" s="1"/>
  <c r="K29" i="4"/>
  <c r="K44" i="4" s="1"/>
  <c r="J29" i="4"/>
  <c r="J44" i="4" s="1"/>
  <c r="I29" i="4"/>
  <c r="I44" i="4" s="1"/>
  <c r="H29" i="4"/>
  <c r="H44" i="4" s="1"/>
  <c r="G29" i="4"/>
  <c r="G44" i="4" s="1"/>
  <c r="F29" i="4"/>
  <c r="F44" i="4" s="1"/>
  <c r="E29" i="4"/>
  <c r="E44" i="4" s="1"/>
  <c r="D29" i="4"/>
  <c r="D44" i="4" s="1"/>
  <c r="S26" i="4"/>
  <c r="S36" i="4" s="1"/>
  <c r="R26" i="4"/>
  <c r="R36" i="4" s="1"/>
  <c r="Q26" i="4"/>
  <c r="Q36" i="4" s="1"/>
  <c r="P26" i="4"/>
  <c r="O26" i="4"/>
  <c r="O36" i="4" s="1"/>
  <c r="N26" i="4"/>
  <c r="N36" i="4" s="1"/>
  <c r="M26" i="4"/>
  <c r="M36" i="4" s="1"/>
  <c r="L26" i="4"/>
  <c r="K26" i="4"/>
  <c r="K36" i="4" s="1"/>
  <c r="J26" i="4"/>
  <c r="J36" i="4" s="1"/>
  <c r="I26" i="4"/>
  <c r="I36" i="4" s="1"/>
  <c r="H26" i="4"/>
  <c r="G26" i="4"/>
  <c r="G36" i="4" s="1"/>
  <c r="F26" i="4"/>
  <c r="F36" i="4" s="1"/>
  <c r="E26" i="4"/>
  <c r="E36" i="4" s="1"/>
  <c r="D26" i="4"/>
  <c r="AC44" i="16" l="1"/>
  <c r="AC30" i="16"/>
  <c r="AC31" i="16" s="1"/>
  <c r="AB44" i="16"/>
  <c r="AB30" i="16"/>
  <c r="AB31" i="16" s="1"/>
  <c r="E30" i="12"/>
  <c r="E31" i="12" s="1"/>
  <c r="J30" i="38"/>
  <c r="J31" i="38" s="1"/>
  <c r="H27" i="30"/>
  <c r="J27" i="15"/>
  <c r="G37" i="20"/>
  <c r="I28" i="38"/>
  <c r="E30" i="27"/>
  <c r="E31" i="27" s="1"/>
  <c r="F30" i="30"/>
  <c r="F31" i="30" s="1"/>
  <c r="D28" i="38"/>
  <c r="F30" i="34"/>
  <c r="F31" i="34" s="1"/>
  <c r="E28" i="38"/>
  <c r="E30" i="23"/>
  <c r="E31" i="23" s="1"/>
  <c r="L28" i="38"/>
  <c r="E30" i="7"/>
  <c r="E31" i="7" s="1"/>
  <c r="F30" i="38"/>
  <c r="F31" i="38" s="1"/>
  <c r="N30" i="38"/>
  <c r="N31" i="38" s="1"/>
  <c r="L27" i="7"/>
  <c r="L36" i="7"/>
  <c r="H27" i="8"/>
  <c r="H36" i="8"/>
  <c r="G36" i="11"/>
  <c r="G30" i="11"/>
  <c r="G31" i="11" s="1"/>
  <c r="G27" i="11"/>
  <c r="K37" i="14"/>
  <c r="K36" i="14"/>
  <c r="S37" i="14"/>
  <c r="S36" i="14"/>
  <c r="AA37" i="14"/>
  <c r="AA36" i="14"/>
  <c r="G37" i="15"/>
  <c r="G36" i="15"/>
  <c r="O37" i="15"/>
  <c r="O36" i="15"/>
  <c r="J27" i="16"/>
  <c r="J36" i="16"/>
  <c r="R27" i="16"/>
  <c r="R36" i="16"/>
  <c r="Z27" i="16"/>
  <c r="Z36" i="16"/>
  <c r="N37" i="18"/>
  <c r="N36" i="18"/>
  <c r="V37" i="18"/>
  <c r="V36" i="18"/>
  <c r="J37" i="21"/>
  <c r="J36" i="21"/>
  <c r="J36" i="22"/>
  <c r="J28" i="22"/>
  <c r="J37" i="22"/>
  <c r="J30" i="22"/>
  <c r="J31" i="22" s="1"/>
  <c r="R36" i="22"/>
  <c r="R28" i="22"/>
  <c r="R37" i="22"/>
  <c r="R30" i="22"/>
  <c r="R31" i="22" s="1"/>
  <c r="Z36" i="22"/>
  <c r="Z28" i="22"/>
  <c r="Z37" i="22"/>
  <c r="Z30" i="22"/>
  <c r="Z31" i="22" s="1"/>
  <c r="I30" i="24"/>
  <c r="I31" i="24" s="1"/>
  <c r="I36" i="24"/>
  <c r="E37" i="25"/>
  <c r="E36" i="25"/>
  <c r="J37" i="27"/>
  <c r="J36" i="27"/>
  <c r="R37" i="27"/>
  <c r="R36" i="27"/>
  <c r="Z37" i="27"/>
  <c r="H30" i="29"/>
  <c r="H31" i="29" s="1"/>
  <c r="H36" i="29"/>
  <c r="D37" i="30"/>
  <c r="E30" i="34"/>
  <c r="E31" i="34" s="1"/>
  <c r="F28" i="34"/>
  <c r="J30" i="37"/>
  <c r="J31" i="37" s="1"/>
  <c r="J36" i="37"/>
  <c r="Z30" i="37"/>
  <c r="Z31" i="37" s="1"/>
  <c r="Z36" i="37"/>
  <c r="V30" i="38"/>
  <c r="V31" i="38" s="1"/>
  <c r="V36" i="38"/>
  <c r="AD30" i="38"/>
  <c r="AD31" i="38" s="1"/>
  <c r="AD36" i="38"/>
  <c r="AL30" i="38"/>
  <c r="AL31" i="38" s="1"/>
  <c r="AL36" i="38"/>
  <c r="N27" i="38"/>
  <c r="D37" i="38"/>
  <c r="M30" i="7"/>
  <c r="M31" i="7" s="1"/>
  <c r="M36" i="7"/>
  <c r="U30" i="7"/>
  <c r="U31" i="7" s="1"/>
  <c r="U36" i="7"/>
  <c r="I27" i="8"/>
  <c r="I36" i="8"/>
  <c r="Q37" i="8"/>
  <c r="Q36" i="8"/>
  <c r="E27" i="9"/>
  <c r="E36" i="9"/>
  <c r="F27" i="10"/>
  <c r="F36" i="10"/>
  <c r="L27" i="12"/>
  <c r="L36" i="12"/>
  <c r="T27" i="12"/>
  <c r="T36" i="12"/>
  <c r="E37" i="13"/>
  <c r="E36" i="13"/>
  <c r="K28" i="17"/>
  <c r="K36" i="17"/>
  <c r="F27" i="19"/>
  <c r="F36" i="19"/>
  <c r="N27" i="19"/>
  <c r="N36" i="19"/>
  <c r="V27" i="19"/>
  <c r="V36" i="19"/>
  <c r="N37" i="20"/>
  <c r="N36" i="20"/>
  <c r="V37" i="20"/>
  <c r="V36" i="20"/>
  <c r="K36" i="22"/>
  <c r="K28" i="22"/>
  <c r="K37" i="22"/>
  <c r="K30" i="22"/>
  <c r="K31" i="22" s="1"/>
  <c r="S36" i="22"/>
  <c r="S28" i="22"/>
  <c r="S37" i="22"/>
  <c r="S30" i="22"/>
  <c r="S31" i="22" s="1"/>
  <c r="AA36" i="22"/>
  <c r="AA37" i="22"/>
  <c r="AA28" i="22"/>
  <c r="AA30" i="22"/>
  <c r="AA31" i="22" s="1"/>
  <c r="D30" i="23"/>
  <c r="D31" i="23" s="1"/>
  <c r="N37" i="23"/>
  <c r="N36" i="23"/>
  <c r="V37" i="23"/>
  <c r="V36" i="23"/>
  <c r="J37" i="24"/>
  <c r="J36" i="24"/>
  <c r="Q37" i="25"/>
  <c r="Q36" i="25"/>
  <c r="I37" i="29"/>
  <c r="I36" i="29"/>
  <c r="Q37" i="29"/>
  <c r="M27" i="30"/>
  <c r="M36" i="30"/>
  <c r="U27" i="30"/>
  <c r="U36" i="30"/>
  <c r="H37" i="30"/>
  <c r="L27" i="32"/>
  <c r="L36" i="32"/>
  <c r="T27" i="32"/>
  <c r="T36" i="32"/>
  <c r="AB27" i="32"/>
  <c r="AB36" i="32"/>
  <c r="G37" i="32"/>
  <c r="K37" i="37"/>
  <c r="K36" i="37"/>
  <c r="S37" i="37"/>
  <c r="S36" i="37"/>
  <c r="AA37" i="37"/>
  <c r="AA36" i="37"/>
  <c r="W37" i="38"/>
  <c r="W36" i="38"/>
  <c r="AE37" i="38"/>
  <c r="AE36" i="38"/>
  <c r="D36" i="38"/>
  <c r="H37" i="38"/>
  <c r="L27" i="40"/>
  <c r="L36" i="40"/>
  <c r="T27" i="40"/>
  <c r="T36" i="40"/>
  <c r="T27" i="7"/>
  <c r="T36" i="7"/>
  <c r="P28" i="8"/>
  <c r="P36" i="8"/>
  <c r="V37" i="5"/>
  <c r="V36" i="5"/>
  <c r="D37" i="7"/>
  <c r="R28" i="8"/>
  <c r="R36" i="8"/>
  <c r="F30" i="9"/>
  <c r="F31" i="9" s="1"/>
  <c r="F36" i="9"/>
  <c r="E28" i="10"/>
  <c r="M30" i="12"/>
  <c r="M31" i="12" s="1"/>
  <c r="M36" i="12"/>
  <c r="U30" i="12"/>
  <c r="U31" i="12" s="1"/>
  <c r="U36" i="12"/>
  <c r="M27" i="14"/>
  <c r="M36" i="14"/>
  <c r="U27" i="14"/>
  <c r="U36" i="14"/>
  <c r="I27" i="15"/>
  <c r="I36" i="15"/>
  <c r="Q27" i="15"/>
  <c r="Q36" i="15"/>
  <c r="H27" i="18"/>
  <c r="H36" i="18"/>
  <c r="P27" i="18"/>
  <c r="P36" i="18"/>
  <c r="X27" i="18"/>
  <c r="X36" i="18"/>
  <c r="D28" i="18"/>
  <c r="D30" i="21"/>
  <c r="D31" i="21" s="1"/>
  <c r="D36" i="21"/>
  <c r="L30" i="21"/>
  <c r="L31" i="21" s="1"/>
  <c r="L36" i="21"/>
  <c r="L27" i="22"/>
  <c r="L36" i="22"/>
  <c r="L28" i="22"/>
  <c r="L37" i="22"/>
  <c r="L30" i="22"/>
  <c r="L31" i="22" s="1"/>
  <c r="T27" i="22"/>
  <c r="T36" i="22"/>
  <c r="T28" i="22"/>
  <c r="T37" i="22"/>
  <c r="T30" i="22"/>
  <c r="T31" i="22" s="1"/>
  <c r="G30" i="25"/>
  <c r="G31" i="25" s="1"/>
  <c r="G36" i="25"/>
  <c r="Y27" i="26"/>
  <c r="Y36" i="26"/>
  <c r="E28" i="26"/>
  <c r="L27" i="27"/>
  <c r="L36" i="27"/>
  <c r="T27" i="27"/>
  <c r="T36" i="27"/>
  <c r="M27" i="32"/>
  <c r="M36" i="32"/>
  <c r="U27" i="32"/>
  <c r="U36" i="32"/>
  <c r="X27" i="38"/>
  <c r="X36" i="38"/>
  <c r="AF27" i="38"/>
  <c r="AF36" i="38"/>
  <c r="E36" i="38"/>
  <c r="L37" i="38"/>
  <c r="M27" i="40"/>
  <c r="M36" i="40"/>
  <c r="U27" i="40"/>
  <c r="U36" i="40"/>
  <c r="H27" i="4"/>
  <c r="H36" i="4"/>
  <c r="P27" i="4"/>
  <c r="P36" i="4"/>
  <c r="S37" i="8"/>
  <c r="S36" i="8"/>
  <c r="G37" i="9"/>
  <c r="G36" i="9"/>
  <c r="J27" i="11"/>
  <c r="J36" i="11"/>
  <c r="N37" i="12"/>
  <c r="N36" i="12"/>
  <c r="V37" i="12"/>
  <c r="V36" i="12"/>
  <c r="F30" i="14"/>
  <c r="F31" i="14" s="1"/>
  <c r="U37" i="16"/>
  <c r="U36" i="16"/>
  <c r="Q27" i="18"/>
  <c r="Q36" i="18"/>
  <c r="H27" i="19"/>
  <c r="H36" i="19"/>
  <c r="P27" i="19"/>
  <c r="P36" i="19"/>
  <c r="X27" i="19"/>
  <c r="X36" i="19"/>
  <c r="H27" i="20"/>
  <c r="H36" i="20"/>
  <c r="P27" i="20"/>
  <c r="P36" i="20"/>
  <c r="X27" i="20"/>
  <c r="X36" i="20"/>
  <c r="M36" i="22"/>
  <c r="M37" i="22"/>
  <c r="M28" i="22"/>
  <c r="M30" i="22"/>
  <c r="M31" i="22" s="1"/>
  <c r="U36" i="22"/>
  <c r="U37" i="22"/>
  <c r="U30" i="22"/>
  <c r="U31" i="22" s="1"/>
  <c r="U28" i="22"/>
  <c r="D28" i="23"/>
  <c r="L27" i="24"/>
  <c r="L36" i="24"/>
  <c r="S30" i="25"/>
  <c r="S31" i="25" s="1"/>
  <c r="S36" i="25"/>
  <c r="Z30" i="26"/>
  <c r="Z31" i="26" s="1"/>
  <c r="Z36" i="26"/>
  <c r="K27" i="29"/>
  <c r="K36" i="29"/>
  <c r="O37" i="30"/>
  <c r="O36" i="30"/>
  <c r="W37" i="30"/>
  <c r="W36" i="30"/>
  <c r="N37" i="32"/>
  <c r="N36" i="32"/>
  <c r="V37" i="32"/>
  <c r="V36" i="32"/>
  <c r="AD37" i="32"/>
  <c r="AD36" i="32"/>
  <c r="M27" i="37"/>
  <c r="M36" i="37"/>
  <c r="U27" i="37"/>
  <c r="U36" i="37"/>
  <c r="I30" i="38"/>
  <c r="I31" i="38" s="1"/>
  <c r="Q30" i="38"/>
  <c r="Q31" i="38" s="1"/>
  <c r="Q36" i="38"/>
  <c r="Y30" i="38"/>
  <c r="Y31" i="38" s="1"/>
  <c r="Y36" i="38"/>
  <c r="AG30" i="38"/>
  <c r="AG31" i="38" s="1"/>
  <c r="AG36" i="38"/>
  <c r="H28" i="38"/>
  <c r="H36" i="38"/>
  <c r="P37" i="38"/>
  <c r="N37" i="40"/>
  <c r="N36" i="40"/>
  <c r="V37" i="40"/>
  <c r="V36" i="40"/>
  <c r="D28" i="7"/>
  <c r="D27" i="8"/>
  <c r="D36" i="8"/>
  <c r="G37" i="14"/>
  <c r="G36" i="14"/>
  <c r="O37" i="14"/>
  <c r="O36" i="14"/>
  <c r="W37" i="14"/>
  <c r="W36" i="14"/>
  <c r="K37" i="15"/>
  <c r="K36" i="15"/>
  <c r="F27" i="16"/>
  <c r="F36" i="16"/>
  <c r="N27" i="16"/>
  <c r="N36" i="16"/>
  <c r="V27" i="16"/>
  <c r="V36" i="16"/>
  <c r="J37" i="18"/>
  <c r="J36" i="18"/>
  <c r="R37" i="18"/>
  <c r="R36" i="18"/>
  <c r="F37" i="21"/>
  <c r="F36" i="21"/>
  <c r="N37" i="21"/>
  <c r="N36" i="21"/>
  <c r="N36" i="22"/>
  <c r="N37" i="22"/>
  <c r="N28" i="22"/>
  <c r="N30" i="22"/>
  <c r="N31" i="22" s="1"/>
  <c r="V36" i="22"/>
  <c r="V37" i="22"/>
  <c r="V30" i="22"/>
  <c r="V31" i="22" s="1"/>
  <c r="V28" i="22"/>
  <c r="E30" i="24"/>
  <c r="E31" i="24" s="1"/>
  <c r="E36" i="24"/>
  <c r="M30" i="24"/>
  <c r="M31" i="24" s="1"/>
  <c r="M36" i="24"/>
  <c r="AA37" i="26"/>
  <c r="AA36" i="26"/>
  <c r="N37" i="27"/>
  <c r="N36" i="27"/>
  <c r="D30" i="29"/>
  <c r="D31" i="29" s="1"/>
  <c r="D36" i="29"/>
  <c r="L30" i="29"/>
  <c r="L31" i="29" s="1"/>
  <c r="L36" i="29"/>
  <c r="AC30" i="34"/>
  <c r="AC31" i="34" s="1"/>
  <c r="AC36" i="34"/>
  <c r="R30" i="38"/>
  <c r="R31" i="38" s="1"/>
  <c r="R36" i="38"/>
  <c r="Z30" i="38"/>
  <c r="Z31" i="38" s="1"/>
  <c r="Z36" i="38"/>
  <c r="AH30" i="38"/>
  <c r="AH31" i="38" s="1"/>
  <c r="AH36" i="38"/>
  <c r="F27" i="38"/>
  <c r="I36" i="38"/>
  <c r="P27" i="7"/>
  <c r="P36" i="7"/>
  <c r="I30" i="7"/>
  <c r="I31" i="7" s="1"/>
  <c r="I36" i="7"/>
  <c r="Q30" i="7"/>
  <c r="Q31" i="7" s="1"/>
  <c r="Q36" i="7"/>
  <c r="Y30" i="7"/>
  <c r="Y31" i="7" s="1"/>
  <c r="Y36" i="7"/>
  <c r="L28" i="7"/>
  <c r="E28" i="8"/>
  <c r="E36" i="8"/>
  <c r="U27" i="8"/>
  <c r="U36" i="8"/>
  <c r="I37" i="9"/>
  <c r="H27" i="12"/>
  <c r="H36" i="12"/>
  <c r="P27" i="12"/>
  <c r="P36" i="12"/>
  <c r="X27" i="12"/>
  <c r="X36" i="12"/>
  <c r="Z27" i="19"/>
  <c r="Z36" i="19"/>
  <c r="J37" i="20"/>
  <c r="J36" i="20"/>
  <c r="R37" i="20"/>
  <c r="R36" i="20"/>
  <c r="Z37" i="20"/>
  <c r="Z36" i="20"/>
  <c r="O36" i="22"/>
  <c r="O30" i="22"/>
  <c r="O31" i="22" s="1"/>
  <c r="O37" i="22"/>
  <c r="O28" i="22"/>
  <c r="W36" i="22"/>
  <c r="W28" i="22"/>
  <c r="W37" i="22"/>
  <c r="W30" i="22"/>
  <c r="W31" i="22" s="1"/>
  <c r="J37" i="23"/>
  <c r="J36" i="23"/>
  <c r="R37" i="23"/>
  <c r="R36" i="23"/>
  <c r="Z37" i="23"/>
  <c r="Z36" i="23"/>
  <c r="F37" i="24"/>
  <c r="F36" i="24"/>
  <c r="N37" i="24"/>
  <c r="N36" i="24"/>
  <c r="U37" i="25"/>
  <c r="U36" i="25"/>
  <c r="E37" i="29"/>
  <c r="E36" i="29"/>
  <c r="M37" i="29"/>
  <c r="M36" i="29"/>
  <c r="I27" i="30"/>
  <c r="I36" i="30"/>
  <c r="Q27" i="30"/>
  <c r="Q36" i="30"/>
  <c r="Y27" i="30"/>
  <c r="Y36" i="30"/>
  <c r="D27" i="30"/>
  <c r="H27" i="32"/>
  <c r="H36" i="32"/>
  <c r="P27" i="32"/>
  <c r="P36" i="32"/>
  <c r="X27" i="32"/>
  <c r="X36" i="32"/>
  <c r="AD30" i="34"/>
  <c r="AD31" i="34" s="1"/>
  <c r="AD36" i="34"/>
  <c r="G37" i="37"/>
  <c r="G36" i="37"/>
  <c r="O37" i="37"/>
  <c r="O36" i="37"/>
  <c r="W37" i="37"/>
  <c r="W36" i="37"/>
  <c r="S37" i="38"/>
  <c r="S36" i="38"/>
  <c r="AA37" i="38"/>
  <c r="AA36" i="38"/>
  <c r="AI37" i="38"/>
  <c r="AI36" i="38"/>
  <c r="L36" i="38"/>
  <c r="V37" i="39"/>
  <c r="V36" i="39"/>
  <c r="H27" i="40"/>
  <c r="H36" i="40"/>
  <c r="P27" i="40"/>
  <c r="P36" i="40"/>
  <c r="X27" i="40"/>
  <c r="X36" i="40"/>
  <c r="X27" i="7"/>
  <c r="X36" i="7"/>
  <c r="N28" i="8"/>
  <c r="N36" i="8"/>
  <c r="V30" i="8"/>
  <c r="V31" i="8" s="1"/>
  <c r="V36" i="8"/>
  <c r="I30" i="12"/>
  <c r="I31" i="12" s="1"/>
  <c r="I36" i="12"/>
  <c r="Q30" i="12"/>
  <c r="Q31" i="12" s="1"/>
  <c r="Q36" i="12"/>
  <c r="Y30" i="12"/>
  <c r="Y31" i="12" s="1"/>
  <c r="Y36" i="12"/>
  <c r="I27" i="14"/>
  <c r="I36" i="14"/>
  <c r="Q27" i="14"/>
  <c r="Q36" i="14"/>
  <c r="Y27" i="14"/>
  <c r="Y36" i="14"/>
  <c r="E27" i="15"/>
  <c r="E36" i="15"/>
  <c r="M27" i="15"/>
  <c r="M36" i="15"/>
  <c r="L27" i="18"/>
  <c r="L36" i="18"/>
  <c r="T27" i="18"/>
  <c r="T36" i="18"/>
  <c r="H30" i="21"/>
  <c r="H31" i="21" s="1"/>
  <c r="H36" i="21"/>
  <c r="P30" i="21"/>
  <c r="P31" i="21" s="1"/>
  <c r="P36" i="21"/>
  <c r="H27" i="22"/>
  <c r="H36" i="22"/>
  <c r="P27" i="22"/>
  <c r="P36" i="22"/>
  <c r="P30" i="22"/>
  <c r="P31" i="22" s="1"/>
  <c r="P37" i="22"/>
  <c r="P28" i="22"/>
  <c r="X27" i="22"/>
  <c r="X36" i="22"/>
  <c r="X37" i="22"/>
  <c r="X30" i="22"/>
  <c r="X31" i="22" s="1"/>
  <c r="X28" i="22"/>
  <c r="S37" i="23"/>
  <c r="H27" i="27"/>
  <c r="H36" i="27"/>
  <c r="P27" i="27"/>
  <c r="P36" i="27"/>
  <c r="I27" i="32"/>
  <c r="I36" i="32"/>
  <c r="Q27" i="32"/>
  <c r="Q36" i="32"/>
  <c r="Q30" i="32"/>
  <c r="Q31" i="32" s="1"/>
  <c r="Y27" i="32"/>
  <c r="Y36" i="32"/>
  <c r="AE37" i="34"/>
  <c r="AE36" i="34"/>
  <c r="T27" i="38"/>
  <c r="T36" i="38"/>
  <c r="AB27" i="38"/>
  <c r="AB36" i="38"/>
  <c r="AJ27" i="38"/>
  <c r="AJ36" i="38"/>
  <c r="J27" i="38"/>
  <c r="M28" i="38"/>
  <c r="D27" i="4"/>
  <c r="D36" i="4"/>
  <c r="L27" i="4"/>
  <c r="L36" i="4"/>
  <c r="M27" i="4"/>
  <c r="G27" i="8"/>
  <c r="G36" i="8"/>
  <c r="O37" i="8"/>
  <c r="O36" i="8"/>
  <c r="F27" i="11"/>
  <c r="F36" i="11"/>
  <c r="J37" i="12"/>
  <c r="J36" i="12"/>
  <c r="R37" i="12"/>
  <c r="R36" i="12"/>
  <c r="Z37" i="12"/>
  <c r="Z36" i="12"/>
  <c r="I37" i="16"/>
  <c r="I36" i="16"/>
  <c r="Q37" i="16"/>
  <c r="Q36" i="16"/>
  <c r="Y37" i="16"/>
  <c r="Y36" i="16"/>
  <c r="M27" i="18"/>
  <c r="M36" i="18"/>
  <c r="U27" i="18"/>
  <c r="U36" i="18"/>
  <c r="D27" i="19"/>
  <c r="D36" i="19"/>
  <c r="L27" i="19"/>
  <c r="L36" i="19"/>
  <c r="T27" i="19"/>
  <c r="T36" i="19"/>
  <c r="AB27" i="19"/>
  <c r="AB36" i="19"/>
  <c r="L27" i="20"/>
  <c r="L36" i="20"/>
  <c r="T27" i="20"/>
  <c r="T36" i="20"/>
  <c r="D36" i="20"/>
  <c r="I27" i="21"/>
  <c r="I36" i="21"/>
  <c r="I27" i="22"/>
  <c r="I36" i="22"/>
  <c r="I28" i="22"/>
  <c r="I37" i="22"/>
  <c r="I30" i="22"/>
  <c r="I31" i="22" s="1"/>
  <c r="Q27" i="22"/>
  <c r="Q36" i="22"/>
  <c r="Q28" i="22"/>
  <c r="Q37" i="22"/>
  <c r="Q30" i="22"/>
  <c r="Q31" i="22" s="1"/>
  <c r="Y27" i="22"/>
  <c r="Y36" i="22"/>
  <c r="Y28" i="22"/>
  <c r="Y37" i="22"/>
  <c r="Y30" i="22"/>
  <c r="Y31" i="22" s="1"/>
  <c r="L30" i="23"/>
  <c r="L31" i="23" s="1"/>
  <c r="L36" i="23"/>
  <c r="H27" i="24"/>
  <c r="H36" i="24"/>
  <c r="P27" i="24"/>
  <c r="P36" i="24"/>
  <c r="W30" i="25"/>
  <c r="W31" i="25" s="1"/>
  <c r="W36" i="25"/>
  <c r="G27" i="29"/>
  <c r="G36" i="29"/>
  <c r="O36" i="29"/>
  <c r="K37" i="30"/>
  <c r="K36" i="30"/>
  <c r="S37" i="30"/>
  <c r="S36" i="30"/>
  <c r="AA37" i="30"/>
  <c r="AA36" i="30"/>
  <c r="J37" i="32"/>
  <c r="J36" i="32"/>
  <c r="R37" i="32"/>
  <c r="R36" i="32"/>
  <c r="Z37" i="32"/>
  <c r="Z36" i="32"/>
  <c r="I27" i="37"/>
  <c r="I36" i="37"/>
  <c r="Q27" i="37"/>
  <c r="Q36" i="37"/>
  <c r="Y27" i="37"/>
  <c r="Y36" i="37"/>
  <c r="E30" i="38"/>
  <c r="E31" i="38" s="1"/>
  <c r="M30" i="38"/>
  <c r="M31" i="38" s="1"/>
  <c r="U30" i="38"/>
  <c r="U31" i="38" s="1"/>
  <c r="U36" i="38"/>
  <c r="AC30" i="38"/>
  <c r="AC31" i="38" s="1"/>
  <c r="AC36" i="38"/>
  <c r="AK30" i="38"/>
  <c r="AK31" i="38" s="1"/>
  <c r="AK36" i="38"/>
  <c r="M27" i="38"/>
  <c r="P28" i="38"/>
  <c r="P36" i="38"/>
  <c r="X27" i="39"/>
  <c r="X36" i="39"/>
  <c r="J37" i="40"/>
  <c r="J36" i="40"/>
  <c r="R37" i="40"/>
  <c r="R36" i="40"/>
  <c r="Z37" i="40"/>
  <c r="Z36" i="40"/>
  <c r="Y30" i="39"/>
  <c r="Y31" i="39" s="1"/>
  <c r="Y36" i="39"/>
  <c r="P30" i="29"/>
  <c r="P31" i="29" s="1"/>
  <c r="Y37" i="25"/>
  <c r="Y36" i="25"/>
  <c r="Z36" i="25"/>
  <c r="X30" i="25"/>
  <c r="X31" i="25" s="1"/>
  <c r="K37" i="9"/>
  <c r="S37" i="15"/>
  <c r="R30" i="15"/>
  <c r="R31" i="15" s="1"/>
  <c r="Z30" i="14"/>
  <c r="Z31" i="14" s="1"/>
  <c r="O30" i="11"/>
  <c r="O31" i="11" s="1"/>
  <c r="J30" i="9"/>
  <c r="J31" i="9" s="1"/>
  <c r="Y37" i="8"/>
  <c r="X30" i="36"/>
  <c r="X31" i="36" s="1"/>
  <c r="X36" i="36"/>
  <c r="Y37" i="36"/>
  <c r="Y36" i="36"/>
  <c r="W27" i="36"/>
  <c r="W36" i="36"/>
  <c r="V37" i="27"/>
  <c r="AD37" i="27"/>
  <c r="AC30" i="27"/>
  <c r="AC31" i="27" s="1"/>
  <c r="AD37" i="22"/>
  <c r="AD37" i="23"/>
  <c r="AC30" i="23"/>
  <c r="AC31" i="23" s="1"/>
  <c r="AC36" i="23"/>
  <c r="AB30" i="23"/>
  <c r="AB31" i="23" s="1"/>
  <c r="AB36" i="23"/>
  <c r="AB27" i="22"/>
  <c r="AB36" i="22"/>
  <c r="AB27" i="20"/>
  <c r="AB36" i="20"/>
  <c r="AC30" i="20"/>
  <c r="AC31" i="20" s="1"/>
  <c r="AC36" i="20"/>
  <c r="AC27" i="18"/>
  <c r="AC36" i="18"/>
  <c r="Z37" i="18"/>
  <c r="Z36" i="18"/>
  <c r="AB27" i="18"/>
  <c r="AB36" i="18"/>
  <c r="X30" i="17"/>
  <c r="X31" i="17" s="1"/>
  <c r="G27" i="13"/>
  <c r="G36" i="13"/>
  <c r="AC31" i="10"/>
  <c r="AC30" i="7"/>
  <c r="AC31" i="7" s="1"/>
  <c r="AC36" i="7"/>
  <c r="AB27" i="7"/>
  <c r="AB36" i="7"/>
  <c r="AB27" i="40"/>
  <c r="AB36" i="40"/>
  <c r="AD30" i="30"/>
  <c r="AD31" i="30" s="1"/>
  <c r="AD36" i="30"/>
  <c r="AC27" i="30"/>
  <c r="AC36" i="30"/>
  <c r="G37" i="24"/>
  <c r="P27" i="21"/>
  <c r="K28" i="21"/>
  <c r="K30" i="16"/>
  <c r="K31" i="16" s="1"/>
  <c r="S30" i="16"/>
  <c r="S31" i="16" s="1"/>
  <c r="AA30" i="16"/>
  <c r="AA31" i="16" s="1"/>
  <c r="G30" i="16"/>
  <c r="G31" i="16" s="1"/>
  <c r="O30" i="16"/>
  <c r="O31" i="16" s="1"/>
  <c r="W30" i="16"/>
  <c r="W31" i="16" s="1"/>
  <c r="K37" i="21"/>
  <c r="H30" i="16"/>
  <c r="H31" i="16" s="1"/>
  <c r="L30" i="16"/>
  <c r="L31" i="16" s="1"/>
  <c r="G27" i="16"/>
  <c r="L37" i="7"/>
  <c r="AB37" i="7"/>
  <c r="AB28" i="7"/>
  <c r="V30" i="14"/>
  <c r="V31" i="14" s="1"/>
  <c r="R30" i="14"/>
  <c r="R31" i="14" s="1"/>
  <c r="N30" i="14"/>
  <c r="N31" i="14" s="1"/>
  <c r="J30" i="14"/>
  <c r="J31" i="14" s="1"/>
  <c r="X37" i="14"/>
  <c r="L27" i="14"/>
  <c r="T27" i="14"/>
  <c r="H27" i="14"/>
  <c r="Y30" i="27"/>
  <c r="Y31" i="27" s="1"/>
  <c r="U30" i="27"/>
  <c r="U31" i="27" s="1"/>
  <c r="Q30" i="27"/>
  <c r="Q31" i="27" s="1"/>
  <c r="M30" i="27"/>
  <c r="M31" i="27" s="1"/>
  <c r="I30" i="27"/>
  <c r="I31" i="27" s="1"/>
  <c r="Z30" i="30"/>
  <c r="Z31" i="30" s="1"/>
  <c r="V30" i="30"/>
  <c r="V31" i="30" s="1"/>
  <c r="R30" i="30"/>
  <c r="R31" i="30" s="1"/>
  <c r="N30" i="30"/>
  <c r="N31" i="30" s="1"/>
  <c r="J30" i="30"/>
  <c r="J31" i="30" s="1"/>
  <c r="X37" i="30"/>
  <c r="L37" i="30"/>
  <c r="L27" i="30"/>
  <c r="D30" i="17"/>
  <c r="D31" i="17" s="1"/>
  <c r="V30" i="37"/>
  <c r="V31" i="37" s="1"/>
  <c r="R30" i="37"/>
  <c r="R31" i="37" s="1"/>
  <c r="N30" i="37"/>
  <c r="N31" i="37" s="1"/>
  <c r="F30" i="37"/>
  <c r="F31" i="37" s="1"/>
  <c r="L37" i="37"/>
  <c r="Y30" i="20"/>
  <c r="Y31" i="20" s="1"/>
  <c r="U30" i="20"/>
  <c r="U31" i="20" s="1"/>
  <c r="Q30" i="20"/>
  <c r="Q31" i="20" s="1"/>
  <c r="M30" i="20"/>
  <c r="M31" i="20" s="1"/>
  <c r="I30" i="20"/>
  <c r="I31" i="20" s="1"/>
  <c r="AA37" i="20"/>
  <c r="P28" i="18"/>
  <c r="W27" i="22"/>
  <c r="S27" i="22"/>
  <c r="H28" i="22"/>
  <c r="AD28" i="34"/>
  <c r="E30" i="10"/>
  <c r="E31" i="10" s="1"/>
  <c r="I30" i="17"/>
  <c r="I31" i="17" s="1"/>
  <c r="H30" i="17"/>
  <c r="H31" i="17" s="1"/>
  <c r="H27" i="17"/>
  <c r="H37" i="17"/>
  <c r="E30" i="17"/>
  <c r="E31" i="17" s="1"/>
  <c r="X30" i="23"/>
  <c r="X31" i="23" s="1"/>
  <c r="Y30" i="23"/>
  <c r="Y31" i="23" s="1"/>
  <c r="U30" i="23"/>
  <c r="U31" i="23" s="1"/>
  <c r="T30" i="23"/>
  <c r="T31" i="23" s="1"/>
  <c r="P30" i="23"/>
  <c r="P31" i="23" s="1"/>
  <c r="Q30" i="23"/>
  <c r="Q31" i="23" s="1"/>
  <c r="M30" i="23"/>
  <c r="M31" i="23" s="1"/>
  <c r="AE28" i="23"/>
  <c r="S28" i="23"/>
  <c r="L28" i="23"/>
  <c r="K30" i="11"/>
  <c r="K31" i="11" s="1"/>
  <c r="D30" i="11"/>
  <c r="D31" i="11" s="1"/>
  <c r="I37" i="11"/>
  <c r="T30" i="25"/>
  <c r="T31" i="25" s="1"/>
  <c r="P30" i="25"/>
  <c r="P31" i="25" s="1"/>
  <c r="O30" i="25"/>
  <c r="O31" i="25" s="1"/>
  <c r="L30" i="25"/>
  <c r="L31" i="25" s="1"/>
  <c r="K30" i="25"/>
  <c r="K31" i="25" s="1"/>
  <c r="H30" i="25"/>
  <c r="H31" i="25" s="1"/>
  <c r="D30" i="25"/>
  <c r="D31" i="25" s="1"/>
  <c r="Z30" i="19"/>
  <c r="Z31" i="19" s="1"/>
  <c r="L37" i="19"/>
  <c r="N30" i="15"/>
  <c r="N31" i="15" s="1"/>
  <c r="J30" i="15"/>
  <c r="J31" i="15" s="1"/>
  <c r="F30" i="15"/>
  <c r="F31" i="15" s="1"/>
  <c r="W30" i="8"/>
  <c r="W31" i="8" s="1"/>
  <c r="M37" i="8"/>
  <c r="H30" i="13"/>
  <c r="H31" i="13" s="1"/>
  <c r="F27" i="13"/>
  <c r="E30" i="4"/>
  <c r="E31" i="4" s="1"/>
  <c r="I30" i="4"/>
  <c r="I31" i="4" s="1"/>
  <c r="M30" i="4"/>
  <c r="M31" i="4" s="1"/>
  <c r="Q30" i="4"/>
  <c r="Q31" i="4" s="1"/>
  <c r="P28" i="40"/>
  <c r="D36" i="40"/>
  <c r="D28" i="40"/>
  <c r="T28" i="40"/>
  <c r="O37" i="40"/>
  <c r="K27" i="40"/>
  <c r="AA37" i="40"/>
  <c r="E30" i="40"/>
  <c r="E31" i="40" s="1"/>
  <c r="I30" i="40"/>
  <c r="I31" i="40" s="1"/>
  <c r="M30" i="40"/>
  <c r="M31" i="40" s="1"/>
  <c r="Q30" i="40"/>
  <c r="Q31" i="40" s="1"/>
  <c r="U30" i="40"/>
  <c r="U31" i="40" s="1"/>
  <c r="Y30" i="40"/>
  <c r="Y31" i="40" s="1"/>
  <c r="AC30" i="40"/>
  <c r="AC31" i="40" s="1"/>
  <c r="G27" i="40"/>
  <c r="O27" i="40"/>
  <c r="W27" i="40"/>
  <c r="H28" i="40"/>
  <c r="X28" i="40"/>
  <c r="S37" i="40"/>
  <c r="S27" i="40"/>
  <c r="AA27" i="40"/>
  <c r="K37" i="40"/>
  <c r="I27" i="40"/>
  <c r="Q27" i="40"/>
  <c r="Y27" i="40"/>
  <c r="L28" i="40"/>
  <c r="AB28" i="40"/>
  <c r="G37" i="40"/>
  <c r="W37" i="40"/>
  <c r="W37" i="39"/>
  <c r="W27" i="39"/>
  <c r="X28" i="39"/>
  <c r="V27" i="38"/>
  <c r="AD27" i="38"/>
  <c r="T28" i="38"/>
  <c r="AB28" i="38"/>
  <c r="AJ28" i="38"/>
  <c r="AF37" i="38"/>
  <c r="Q27" i="38"/>
  <c r="Y27" i="38"/>
  <c r="U28" i="38"/>
  <c r="AC28" i="38"/>
  <c r="AK28" i="38"/>
  <c r="T37" i="38"/>
  <c r="AJ37" i="38"/>
  <c r="R27" i="38"/>
  <c r="Z27" i="38"/>
  <c r="X28" i="38"/>
  <c r="AF28" i="38"/>
  <c r="X37" i="38"/>
  <c r="U27" i="38"/>
  <c r="AC27" i="38"/>
  <c r="AK27" i="38"/>
  <c r="Q28" i="38"/>
  <c r="Y28" i="38"/>
  <c r="AG28" i="38"/>
  <c r="AB37" i="38"/>
  <c r="Y28" i="37"/>
  <c r="U28" i="37"/>
  <c r="Q28" i="37"/>
  <c r="P37" i="37"/>
  <c r="I28" i="37"/>
  <c r="E28" i="37"/>
  <c r="E36" i="37"/>
  <c r="J27" i="37"/>
  <c r="N27" i="37"/>
  <c r="R27" i="37"/>
  <c r="D37" i="37"/>
  <c r="T37" i="37"/>
  <c r="F27" i="37"/>
  <c r="V27" i="37"/>
  <c r="M28" i="37"/>
  <c r="H37" i="37"/>
  <c r="X37" i="37"/>
  <c r="Z27" i="37"/>
  <c r="H37" i="34"/>
  <c r="E27" i="34"/>
  <c r="AC27" i="34"/>
  <c r="E36" i="34"/>
  <c r="F27" i="34"/>
  <c r="E28" i="34"/>
  <c r="AC28" i="34"/>
  <c r="F36" i="34"/>
  <c r="D37" i="34"/>
  <c r="E37" i="34"/>
  <c r="AC37" i="34"/>
  <c r="W28" i="36"/>
  <c r="W37" i="36"/>
  <c r="V37" i="36"/>
  <c r="X28" i="36"/>
  <c r="W37" i="32"/>
  <c r="O37" i="32"/>
  <c r="D28" i="32"/>
  <c r="T28" i="32"/>
  <c r="E30" i="32"/>
  <c r="E31" i="32" s="1"/>
  <c r="I30" i="32"/>
  <c r="I31" i="32" s="1"/>
  <c r="M30" i="32"/>
  <c r="M31" i="32" s="1"/>
  <c r="U30" i="32"/>
  <c r="U31" i="32" s="1"/>
  <c r="Y30" i="32"/>
  <c r="Y31" i="32" s="1"/>
  <c r="AC30" i="32"/>
  <c r="AC31" i="32" s="1"/>
  <c r="G27" i="32"/>
  <c r="O27" i="32"/>
  <c r="W27" i="32"/>
  <c r="H28" i="32"/>
  <c r="X28" i="32"/>
  <c r="S37" i="32"/>
  <c r="L28" i="32"/>
  <c r="AB28" i="32"/>
  <c r="K27" i="32"/>
  <c r="S27" i="32"/>
  <c r="AA27" i="32"/>
  <c r="P28" i="32"/>
  <c r="D36" i="32"/>
  <c r="K37" i="32"/>
  <c r="AA37" i="32"/>
  <c r="AB37" i="30"/>
  <c r="AB27" i="30"/>
  <c r="X27" i="30"/>
  <c r="T27" i="30"/>
  <c r="T37" i="30"/>
  <c r="P27" i="30"/>
  <c r="F27" i="30"/>
  <c r="N27" i="30"/>
  <c r="V27" i="30"/>
  <c r="E28" i="30"/>
  <c r="U28" i="30"/>
  <c r="E36" i="30"/>
  <c r="I28" i="30"/>
  <c r="Y28" i="30"/>
  <c r="Q28" i="30"/>
  <c r="J27" i="30"/>
  <c r="R27" i="30"/>
  <c r="Z27" i="30"/>
  <c r="M28" i="30"/>
  <c r="AC28" i="30"/>
  <c r="P37" i="30"/>
  <c r="G28" i="29"/>
  <c r="D27" i="29"/>
  <c r="K28" i="29"/>
  <c r="F37" i="29"/>
  <c r="H27" i="29"/>
  <c r="J37" i="29"/>
  <c r="L27" i="29"/>
  <c r="N37" i="29"/>
  <c r="I27" i="27"/>
  <c r="P28" i="27"/>
  <c r="D36" i="27"/>
  <c r="K37" i="27"/>
  <c r="AA37" i="27"/>
  <c r="M27" i="27"/>
  <c r="D28" i="27"/>
  <c r="T28" i="27"/>
  <c r="O37" i="27"/>
  <c r="Q27" i="27"/>
  <c r="H28" i="27"/>
  <c r="X28" i="27"/>
  <c r="S37" i="27"/>
  <c r="E27" i="27"/>
  <c r="U27" i="27"/>
  <c r="L28" i="27"/>
  <c r="AB28" i="27"/>
  <c r="G37" i="27"/>
  <c r="W37" i="27"/>
  <c r="AC28" i="26"/>
  <c r="AB28" i="26"/>
  <c r="AB37" i="26"/>
  <c r="D28" i="26"/>
  <c r="Z27" i="26"/>
  <c r="E30" i="26"/>
  <c r="E31" i="26" s="1"/>
  <c r="Y30" i="26"/>
  <c r="Y31" i="26" s="1"/>
  <c r="AC30" i="26"/>
  <c r="AC31" i="26" s="1"/>
  <c r="E27" i="26"/>
  <c r="AC27" i="26"/>
  <c r="Y28" i="26"/>
  <c r="D37" i="26"/>
  <c r="T27" i="25"/>
  <c r="L27" i="25"/>
  <c r="W28" i="25"/>
  <c r="K27" i="25"/>
  <c r="O28" i="25"/>
  <c r="S27" i="25"/>
  <c r="G28" i="25"/>
  <c r="D27" i="25"/>
  <c r="N37" i="25"/>
  <c r="J28" i="25"/>
  <c r="R28" i="25"/>
  <c r="R37" i="25"/>
  <c r="G27" i="25"/>
  <c r="O27" i="25"/>
  <c r="W27" i="25"/>
  <c r="K28" i="25"/>
  <c r="S28" i="25"/>
  <c r="F37" i="25"/>
  <c r="V37" i="25"/>
  <c r="H27" i="25"/>
  <c r="P27" i="25"/>
  <c r="F28" i="25"/>
  <c r="N28" i="25"/>
  <c r="V28" i="25"/>
  <c r="J37" i="25"/>
  <c r="P28" i="24"/>
  <c r="H28" i="24"/>
  <c r="D28" i="24"/>
  <c r="I27" i="24"/>
  <c r="K37" i="24"/>
  <c r="M27" i="24"/>
  <c r="E27" i="24"/>
  <c r="L28" i="24"/>
  <c r="D36" i="24"/>
  <c r="O37" i="24"/>
  <c r="AB28" i="23"/>
  <c r="AA28" i="23"/>
  <c r="X27" i="23"/>
  <c r="W27" i="23"/>
  <c r="W37" i="23"/>
  <c r="W28" i="23"/>
  <c r="T28" i="23"/>
  <c r="P27" i="23"/>
  <c r="O28" i="23"/>
  <c r="O27" i="23"/>
  <c r="O37" i="23"/>
  <c r="K28" i="23"/>
  <c r="G28" i="23"/>
  <c r="G27" i="23"/>
  <c r="G37" i="23"/>
  <c r="K27" i="23"/>
  <c r="S27" i="23"/>
  <c r="AA27" i="23"/>
  <c r="P28" i="23"/>
  <c r="X28" i="23"/>
  <c r="D36" i="23"/>
  <c r="K37" i="23"/>
  <c r="AA37" i="23"/>
  <c r="D27" i="23"/>
  <c r="L27" i="23"/>
  <c r="T27" i="23"/>
  <c r="AB27" i="23"/>
  <c r="K27" i="22"/>
  <c r="O27" i="22"/>
  <c r="G27" i="22"/>
  <c r="AA27" i="22"/>
  <c r="AB28" i="22"/>
  <c r="E30" i="22"/>
  <c r="E31" i="22" s="1"/>
  <c r="AC30" i="22"/>
  <c r="AC31" i="22" s="1"/>
  <c r="E27" i="22"/>
  <c r="M27" i="22"/>
  <c r="U27" i="22"/>
  <c r="D28" i="22"/>
  <c r="D36" i="22"/>
  <c r="G37" i="22"/>
  <c r="O28" i="21"/>
  <c r="H27" i="21"/>
  <c r="G28" i="21"/>
  <c r="D28" i="21"/>
  <c r="L28" i="21"/>
  <c r="G37" i="21"/>
  <c r="D27" i="21"/>
  <c r="L27" i="21"/>
  <c r="E30" i="21"/>
  <c r="E31" i="21" s="1"/>
  <c r="I30" i="21"/>
  <c r="I31" i="21" s="1"/>
  <c r="M30" i="21"/>
  <c r="M31" i="21" s="1"/>
  <c r="Q30" i="21"/>
  <c r="Q31" i="21" s="1"/>
  <c r="E27" i="21"/>
  <c r="M27" i="21"/>
  <c r="H28" i="21"/>
  <c r="P28" i="21"/>
  <c r="O37" i="21"/>
  <c r="AB28" i="20"/>
  <c r="W37" i="20"/>
  <c r="P28" i="20"/>
  <c r="L28" i="20"/>
  <c r="K37" i="20"/>
  <c r="Y27" i="20"/>
  <c r="M27" i="20"/>
  <c r="Q27" i="20"/>
  <c r="D28" i="20"/>
  <c r="T28" i="20"/>
  <c r="O37" i="20"/>
  <c r="I27" i="20"/>
  <c r="AC27" i="20"/>
  <c r="E27" i="20"/>
  <c r="U27" i="20"/>
  <c r="H28" i="20"/>
  <c r="X28" i="20"/>
  <c r="S37" i="20"/>
  <c r="D28" i="19"/>
  <c r="P37" i="19"/>
  <c r="E30" i="19"/>
  <c r="E31" i="19" s="1"/>
  <c r="I30" i="19"/>
  <c r="I31" i="19" s="1"/>
  <c r="M30" i="19"/>
  <c r="M31" i="19" s="1"/>
  <c r="Q30" i="19"/>
  <c r="Q31" i="19" s="1"/>
  <c r="U30" i="19"/>
  <c r="U31" i="19" s="1"/>
  <c r="Y30" i="19"/>
  <c r="Y31" i="19" s="1"/>
  <c r="AC30" i="19"/>
  <c r="AC31" i="19" s="1"/>
  <c r="L28" i="19"/>
  <c r="T28" i="19"/>
  <c r="J30" i="19"/>
  <c r="J31" i="19" s="1"/>
  <c r="R30" i="19"/>
  <c r="R31" i="19" s="1"/>
  <c r="AD30" i="19"/>
  <c r="AD31" i="19" s="1"/>
  <c r="R27" i="19"/>
  <c r="AB28" i="19"/>
  <c r="AB37" i="19"/>
  <c r="I27" i="19"/>
  <c r="Q28" i="19"/>
  <c r="J27" i="19"/>
  <c r="U27" i="19"/>
  <c r="M27" i="19"/>
  <c r="Y27" i="19"/>
  <c r="E28" i="19"/>
  <c r="M28" i="19"/>
  <c r="U28" i="19"/>
  <c r="D37" i="19"/>
  <c r="T37" i="19"/>
  <c r="I28" i="19"/>
  <c r="Y28" i="19"/>
  <c r="E27" i="19"/>
  <c r="Q27" i="19"/>
  <c r="H28" i="19"/>
  <c r="P28" i="19"/>
  <c r="X28" i="19"/>
  <c r="H37" i="19"/>
  <c r="X37" i="19"/>
  <c r="AB28" i="18"/>
  <c r="AA37" i="18"/>
  <c r="T28" i="18"/>
  <c r="L28" i="18"/>
  <c r="K37" i="18"/>
  <c r="D36" i="18"/>
  <c r="O37" i="18"/>
  <c r="H28" i="18"/>
  <c r="X28" i="18"/>
  <c r="S37" i="18"/>
  <c r="E30" i="18"/>
  <c r="E31" i="18" s="1"/>
  <c r="I30" i="18"/>
  <c r="I31" i="18" s="1"/>
  <c r="M30" i="18"/>
  <c r="M31" i="18" s="1"/>
  <c r="Q30" i="18"/>
  <c r="Q31" i="18" s="1"/>
  <c r="U30" i="18"/>
  <c r="U31" i="18" s="1"/>
  <c r="Y30" i="18"/>
  <c r="Y31" i="18" s="1"/>
  <c r="AC30" i="18"/>
  <c r="AC31" i="18" s="1"/>
  <c r="I27" i="18"/>
  <c r="Y27" i="18"/>
  <c r="G37" i="18"/>
  <c r="W37" i="18"/>
  <c r="D27" i="17"/>
  <c r="D37" i="17"/>
  <c r="J27" i="17"/>
  <c r="F28" i="17"/>
  <c r="J37" i="17"/>
  <c r="I28" i="17"/>
  <c r="F27" i="17"/>
  <c r="J28" i="17"/>
  <c r="F37" i="17"/>
  <c r="W27" i="16"/>
  <c r="S28" i="16"/>
  <c r="S37" i="16"/>
  <c r="K37" i="16"/>
  <c r="K28" i="16"/>
  <c r="P30" i="16"/>
  <c r="P31" i="16" s="1"/>
  <c r="F37" i="16"/>
  <c r="X30" i="16"/>
  <c r="X31" i="16" s="1"/>
  <c r="N37" i="16"/>
  <c r="O27" i="16"/>
  <c r="G28" i="16"/>
  <c r="O28" i="16"/>
  <c r="W28" i="16"/>
  <c r="O37" i="16"/>
  <c r="W37" i="16"/>
  <c r="Z37" i="16"/>
  <c r="K27" i="16"/>
  <c r="F28" i="16"/>
  <c r="N28" i="16"/>
  <c r="V28" i="16"/>
  <c r="G37" i="16"/>
  <c r="V37" i="16"/>
  <c r="S27" i="16"/>
  <c r="J28" i="16"/>
  <c r="R28" i="16"/>
  <c r="Z28" i="16"/>
  <c r="J37" i="16"/>
  <c r="R37" i="16"/>
  <c r="D27" i="15"/>
  <c r="L27" i="15"/>
  <c r="F27" i="15"/>
  <c r="N27" i="15"/>
  <c r="H27" i="15"/>
  <c r="P27" i="15"/>
  <c r="X27" i="14"/>
  <c r="T37" i="14"/>
  <c r="P27" i="14"/>
  <c r="L37" i="14"/>
  <c r="H37" i="14"/>
  <c r="D37" i="14"/>
  <c r="D27" i="14"/>
  <c r="Y28" i="14"/>
  <c r="F27" i="14"/>
  <c r="N27" i="14"/>
  <c r="V27" i="14"/>
  <c r="M28" i="14"/>
  <c r="I28" i="14"/>
  <c r="Q28" i="14"/>
  <c r="E36" i="14"/>
  <c r="J27" i="14"/>
  <c r="R27" i="14"/>
  <c r="E28" i="14"/>
  <c r="U28" i="14"/>
  <c r="P37" i="14"/>
  <c r="F37" i="13"/>
  <c r="G28" i="13"/>
  <c r="W27" i="12"/>
  <c r="S27" i="12"/>
  <c r="G27" i="12"/>
  <c r="K37" i="12"/>
  <c r="K27" i="12"/>
  <c r="AA27" i="12"/>
  <c r="O37" i="12"/>
  <c r="O27" i="12"/>
  <c r="S37" i="12"/>
  <c r="L28" i="12"/>
  <c r="D36" i="12"/>
  <c r="D28" i="12"/>
  <c r="T28" i="12"/>
  <c r="E27" i="12"/>
  <c r="M27" i="12"/>
  <c r="U27" i="12"/>
  <c r="H28" i="12"/>
  <c r="X28" i="12"/>
  <c r="I27" i="12"/>
  <c r="Q27" i="12"/>
  <c r="Y27" i="12"/>
  <c r="P28" i="12"/>
  <c r="G37" i="12"/>
  <c r="W37" i="12"/>
  <c r="AA37" i="12"/>
  <c r="N37" i="11"/>
  <c r="F28" i="11"/>
  <c r="F37" i="11"/>
  <c r="K27" i="11"/>
  <c r="K28" i="11"/>
  <c r="E37" i="11"/>
  <c r="M37" i="11"/>
  <c r="G28" i="11"/>
  <c r="J28" i="11"/>
  <c r="J37" i="11"/>
  <c r="D37" i="10"/>
  <c r="E27" i="10"/>
  <c r="F30" i="10"/>
  <c r="F31" i="10" s="1"/>
  <c r="D28" i="10"/>
  <c r="AC27" i="40"/>
  <c r="Y27" i="39"/>
  <c r="AL27" i="38"/>
  <c r="AD27" i="34"/>
  <c r="AF37" i="34"/>
  <c r="X27" i="36"/>
  <c r="AD27" i="30"/>
  <c r="X27" i="25"/>
  <c r="AE27" i="23"/>
  <c r="AC27" i="22"/>
  <c r="Q27" i="21"/>
  <c r="X27" i="17"/>
  <c r="Y28" i="17"/>
  <c r="X37" i="17"/>
  <c r="AA37" i="16"/>
  <c r="AA28" i="16"/>
  <c r="Z27" i="14"/>
  <c r="H27" i="13"/>
  <c r="E28" i="9"/>
  <c r="H27" i="9"/>
  <c r="D37" i="9"/>
  <c r="F27" i="9"/>
  <c r="H37" i="9"/>
  <c r="D27" i="9"/>
  <c r="Q28" i="8"/>
  <c r="M27" i="8"/>
  <c r="E37" i="8"/>
  <c r="W27" i="8"/>
  <c r="E30" i="8"/>
  <c r="E31" i="8" s="1"/>
  <c r="I30" i="8"/>
  <c r="I31" i="8" s="1"/>
  <c r="M30" i="8"/>
  <c r="M31" i="8" s="1"/>
  <c r="Q30" i="8"/>
  <c r="Q31" i="8" s="1"/>
  <c r="U30" i="8"/>
  <c r="U31" i="8" s="1"/>
  <c r="Y30" i="8"/>
  <c r="Y31" i="8" s="1"/>
  <c r="E27" i="8"/>
  <c r="O27" i="8"/>
  <c r="I28" i="8"/>
  <c r="U28" i="8"/>
  <c r="G37" i="8"/>
  <c r="U37" i="8"/>
  <c r="D30" i="8"/>
  <c r="D31" i="8" s="1"/>
  <c r="G30" i="8"/>
  <c r="G31" i="8" s="1"/>
  <c r="Q27" i="8"/>
  <c r="M28" i="8"/>
  <c r="I37" i="8"/>
  <c r="W37" i="8"/>
  <c r="X28" i="7"/>
  <c r="X37" i="7"/>
  <c r="T28" i="7"/>
  <c r="T37" i="7"/>
  <c r="Q27" i="7"/>
  <c r="P37" i="7"/>
  <c r="P28" i="7"/>
  <c r="H36" i="7"/>
  <c r="H28" i="7"/>
  <c r="H37" i="7"/>
  <c r="D36" i="7"/>
  <c r="E27" i="7"/>
  <c r="U27" i="7"/>
  <c r="E28" i="7"/>
  <c r="M28" i="7"/>
  <c r="U28" i="7"/>
  <c r="AC28" i="7"/>
  <c r="G37" i="7"/>
  <c r="O37" i="7"/>
  <c r="W37" i="7"/>
  <c r="I27" i="7"/>
  <c r="Y27" i="7"/>
  <c r="N30" i="7"/>
  <c r="N31" i="7" s="1"/>
  <c r="R30" i="7"/>
  <c r="R31" i="7" s="1"/>
  <c r="M27" i="7"/>
  <c r="AC27" i="7"/>
  <c r="I28" i="7"/>
  <c r="Q28" i="7"/>
  <c r="Y28" i="7"/>
  <c r="E36" i="7"/>
  <c r="K37" i="7"/>
  <c r="S37" i="7"/>
  <c r="AA37" i="7"/>
  <c r="Y30" i="5"/>
  <c r="Y31" i="5" s="1"/>
  <c r="W27" i="5"/>
  <c r="W37" i="5"/>
  <c r="U30" i="5"/>
  <c r="U31" i="5" s="1"/>
  <c r="U27" i="5"/>
  <c r="W28" i="5"/>
  <c r="P28" i="4"/>
  <c r="E27" i="4"/>
  <c r="K27" i="4"/>
  <c r="S27" i="4"/>
  <c r="S37" i="4"/>
  <c r="G27" i="4"/>
  <c r="K37" i="4"/>
  <c r="D28" i="4"/>
  <c r="G37" i="4"/>
  <c r="O27" i="4"/>
  <c r="H28" i="4"/>
  <c r="I27" i="4"/>
  <c r="Q27" i="4"/>
  <c r="L28" i="4"/>
  <c r="O37" i="4"/>
  <c r="R30" i="40"/>
  <c r="R31" i="40" s="1"/>
  <c r="F27" i="40"/>
  <c r="J27" i="40"/>
  <c r="N27" i="40"/>
  <c r="R27" i="40"/>
  <c r="V27" i="40"/>
  <c r="Z27" i="40"/>
  <c r="E28" i="40"/>
  <c r="I28" i="40"/>
  <c r="M28" i="40"/>
  <c r="Q28" i="40"/>
  <c r="U28" i="40"/>
  <c r="Y28" i="40"/>
  <c r="AC28" i="40"/>
  <c r="G30" i="40"/>
  <c r="G31" i="40" s="1"/>
  <c r="K30" i="40"/>
  <c r="K31" i="40" s="1"/>
  <c r="O30" i="40"/>
  <c r="O31" i="40" s="1"/>
  <c r="S30" i="40"/>
  <c r="S31" i="40" s="1"/>
  <c r="W30" i="40"/>
  <c r="W31" i="40" s="1"/>
  <c r="AA30" i="40"/>
  <c r="AA31" i="40" s="1"/>
  <c r="E36" i="40"/>
  <c r="D37" i="40"/>
  <c r="H37" i="40"/>
  <c r="L37" i="40"/>
  <c r="P37" i="40"/>
  <c r="T37" i="40"/>
  <c r="X37" i="40"/>
  <c r="AB37" i="40"/>
  <c r="N30" i="40"/>
  <c r="N31" i="40" s="1"/>
  <c r="Z30" i="40"/>
  <c r="Z31" i="40" s="1"/>
  <c r="F28" i="40"/>
  <c r="J28" i="40"/>
  <c r="N28" i="40"/>
  <c r="R28" i="40"/>
  <c r="V28" i="40"/>
  <c r="Z28" i="40"/>
  <c r="D30" i="40"/>
  <c r="D31" i="40" s="1"/>
  <c r="H30" i="40"/>
  <c r="H31" i="40" s="1"/>
  <c r="L30" i="40"/>
  <c r="L31" i="40" s="1"/>
  <c r="P30" i="40"/>
  <c r="P31" i="40" s="1"/>
  <c r="T30" i="40"/>
  <c r="T31" i="40" s="1"/>
  <c r="X30" i="40"/>
  <c r="X31" i="40" s="1"/>
  <c r="AB30" i="40"/>
  <c r="AB31" i="40" s="1"/>
  <c r="F36" i="40"/>
  <c r="E37" i="40"/>
  <c r="I37" i="40"/>
  <c r="M37" i="40"/>
  <c r="Q37" i="40"/>
  <c r="U37" i="40"/>
  <c r="Y37" i="40"/>
  <c r="AC37" i="40"/>
  <c r="F30" i="40"/>
  <c r="F31" i="40" s="1"/>
  <c r="J30" i="40"/>
  <c r="J31" i="40" s="1"/>
  <c r="V30" i="40"/>
  <c r="V31" i="40" s="1"/>
  <c r="AD30" i="40"/>
  <c r="AD31" i="40" s="1"/>
  <c r="G28" i="40"/>
  <c r="K28" i="40"/>
  <c r="O28" i="40"/>
  <c r="S28" i="40"/>
  <c r="W28" i="40"/>
  <c r="AA28" i="40"/>
  <c r="V27" i="39"/>
  <c r="Y28" i="39"/>
  <c r="W30" i="39"/>
  <c r="W31" i="39" s="1"/>
  <c r="X37" i="39"/>
  <c r="V28" i="39"/>
  <c r="X30" i="39"/>
  <c r="X31" i="39" s="1"/>
  <c r="Y37" i="39"/>
  <c r="V30" i="39"/>
  <c r="V31" i="39" s="1"/>
  <c r="W28" i="39"/>
  <c r="O30" i="38"/>
  <c r="O31" i="38" s="1"/>
  <c r="W30" i="38"/>
  <c r="W31" i="38" s="1"/>
  <c r="AI30" i="38"/>
  <c r="AI31" i="38" s="1"/>
  <c r="G27" i="38"/>
  <c r="K27" i="38"/>
  <c r="O27" i="38"/>
  <c r="S27" i="38"/>
  <c r="W27" i="38"/>
  <c r="AA27" i="38"/>
  <c r="AE27" i="38"/>
  <c r="AI27" i="38"/>
  <c r="F28" i="38"/>
  <c r="J28" i="38"/>
  <c r="N28" i="38"/>
  <c r="R28" i="38"/>
  <c r="V28" i="38"/>
  <c r="Z28" i="38"/>
  <c r="AD28" i="38"/>
  <c r="AH28" i="38"/>
  <c r="AL28" i="38"/>
  <c r="D30" i="38"/>
  <c r="D31" i="38" s="1"/>
  <c r="H30" i="38"/>
  <c r="H31" i="38" s="1"/>
  <c r="L30" i="38"/>
  <c r="L31" i="38" s="1"/>
  <c r="P30" i="38"/>
  <c r="P31" i="38" s="1"/>
  <c r="T30" i="38"/>
  <c r="T31" i="38" s="1"/>
  <c r="X30" i="38"/>
  <c r="X31" i="38" s="1"/>
  <c r="AB30" i="38"/>
  <c r="AB31" i="38" s="1"/>
  <c r="AF30" i="38"/>
  <c r="AF31" i="38" s="1"/>
  <c r="AJ30" i="38"/>
  <c r="AJ31" i="38" s="1"/>
  <c r="F36" i="38"/>
  <c r="J36" i="38"/>
  <c r="N36" i="38"/>
  <c r="E37" i="38"/>
  <c r="I37" i="38"/>
  <c r="M37" i="38"/>
  <c r="Q37" i="38"/>
  <c r="U37" i="38"/>
  <c r="Y37" i="38"/>
  <c r="AC37" i="38"/>
  <c r="AG37" i="38"/>
  <c r="AK37" i="38"/>
  <c r="K30" i="38"/>
  <c r="K31" i="38" s="1"/>
  <c r="S30" i="38"/>
  <c r="S31" i="38" s="1"/>
  <c r="AA30" i="38"/>
  <c r="AA31" i="38" s="1"/>
  <c r="G28" i="38"/>
  <c r="K28" i="38"/>
  <c r="O28" i="38"/>
  <c r="S28" i="38"/>
  <c r="W28" i="38"/>
  <c r="AA28" i="38"/>
  <c r="AE28" i="38"/>
  <c r="AI28" i="38"/>
  <c r="G36" i="38"/>
  <c r="K36" i="38"/>
  <c r="O36" i="38"/>
  <c r="F37" i="38"/>
  <c r="J37" i="38"/>
  <c r="N37" i="38"/>
  <c r="R37" i="38"/>
  <c r="V37" i="38"/>
  <c r="Z37" i="38"/>
  <c r="AD37" i="38"/>
  <c r="AH37" i="38"/>
  <c r="AL37" i="38"/>
  <c r="G30" i="38"/>
  <c r="G31" i="38" s="1"/>
  <c r="AE30" i="38"/>
  <c r="AE31" i="38" s="1"/>
  <c r="S30" i="37"/>
  <c r="S31" i="37" s="1"/>
  <c r="AA30" i="37"/>
  <c r="AA31" i="37" s="1"/>
  <c r="G27" i="37"/>
  <c r="K27" i="37"/>
  <c r="O27" i="37"/>
  <c r="S27" i="37"/>
  <c r="W27" i="37"/>
  <c r="AA27" i="37"/>
  <c r="F28" i="37"/>
  <c r="J28" i="37"/>
  <c r="N28" i="37"/>
  <c r="R28" i="37"/>
  <c r="V28" i="37"/>
  <c r="Z28" i="37"/>
  <c r="D30" i="37"/>
  <c r="D31" i="37" s="1"/>
  <c r="H30" i="37"/>
  <c r="H31" i="37" s="1"/>
  <c r="L30" i="37"/>
  <c r="L31" i="37" s="1"/>
  <c r="P30" i="37"/>
  <c r="P31" i="37" s="1"/>
  <c r="T30" i="37"/>
  <c r="T31" i="37" s="1"/>
  <c r="X30" i="37"/>
  <c r="X31" i="37" s="1"/>
  <c r="E37" i="37"/>
  <c r="I37" i="37"/>
  <c r="M37" i="37"/>
  <c r="Q37" i="37"/>
  <c r="U37" i="37"/>
  <c r="Y37" i="37"/>
  <c r="G30" i="37"/>
  <c r="G31" i="37" s="1"/>
  <c r="O30" i="37"/>
  <c r="O31" i="37" s="1"/>
  <c r="W30" i="37"/>
  <c r="W31" i="37" s="1"/>
  <c r="D27" i="37"/>
  <c r="H27" i="37"/>
  <c r="L27" i="37"/>
  <c r="P27" i="37"/>
  <c r="T27" i="37"/>
  <c r="X27" i="37"/>
  <c r="G28" i="37"/>
  <c r="K28" i="37"/>
  <c r="O28" i="37"/>
  <c r="S28" i="37"/>
  <c r="W28" i="37"/>
  <c r="AA28" i="37"/>
  <c r="E30" i="37"/>
  <c r="E31" i="37" s="1"/>
  <c r="I30" i="37"/>
  <c r="I31" i="37" s="1"/>
  <c r="M30" i="37"/>
  <c r="M31" i="37" s="1"/>
  <c r="Q30" i="37"/>
  <c r="Q31" i="37" s="1"/>
  <c r="U30" i="37"/>
  <c r="U31" i="37" s="1"/>
  <c r="Y30" i="37"/>
  <c r="Y31" i="37" s="1"/>
  <c r="F37" i="37"/>
  <c r="J37" i="37"/>
  <c r="N37" i="37"/>
  <c r="R37" i="37"/>
  <c r="V37" i="37"/>
  <c r="Z37" i="37"/>
  <c r="K30" i="37"/>
  <c r="K31" i="37" s="1"/>
  <c r="D28" i="37"/>
  <c r="H28" i="37"/>
  <c r="L28" i="37"/>
  <c r="P28" i="37"/>
  <c r="T28" i="37"/>
  <c r="X28" i="37"/>
  <c r="Y27" i="36"/>
  <c r="V30" i="36"/>
  <c r="V31" i="36" s="1"/>
  <c r="Y30" i="36"/>
  <c r="Y31" i="36" s="1"/>
  <c r="V27" i="36"/>
  <c r="Y28" i="36"/>
  <c r="W30" i="36"/>
  <c r="W31" i="36" s="1"/>
  <c r="X37" i="36"/>
  <c r="V28" i="36"/>
  <c r="G27" i="34"/>
  <c r="AE27" i="34"/>
  <c r="D30" i="34"/>
  <c r="D31" i="34" s="1"/>
  <c r="H30" i="34"/>
  <c r="H31" i="34" s="1"/>
  <c r="AF30" i="34"/>
  <c r="AF31" i="34" s="1"/>
  <c r="D27" i="34"/>
  <c r="H27" i="34"/>
  <c r="AF27" i="34"/>
  <c r="G28" i="34"/>
  <c r="AE28" i="34"/>
  <c r="G36" i="34"/>
  <c r="F37" i="34"/>
  <c r="AD37" i="34"/>
  <c r="G30" i="34"/>
  <c r="G31" i="34" s="1"/>
  <c r="AE30" i="34"/>
  <c r="AE31" i="34" s="1"/>
  <c r="D28" i="34"/>
  <c r="H28" i="34"/>
  <c r="AF28" i="34"/>
  <c r="N30" i="32"/>
  <c r="N31" i="32" s="1"/>
  <c r="F27" i="32"/>
  <c r="J27" i="32"/>
  <c r="N27" i="32"/>
  <c r="R27" i="32"/>
  <c r="V27" i="32"/>
  <c r="Z27" i="32"/>
  <c r="E28" i="32"/>
  <c r="I28" i="32"/>
  <c r="M28" i="32"/>
  <c r="Q28" i="32"/>
  <c r="U28" i="32"/>
  <c r="Y28" i="32"/>
  <c r="G30" i="32"/>
  <c r="G31" i="32" s="1"/>
  <c r="K30" i="32"/>
  <c r="K31" i="32" s="1"/>
  <c r="O30" i="32"/>
  <c r="O31" i="32" s="1"/>
  <c r="S30" i="32"/>
  <c r="S31" i="32" s="1"/>
  <c r="W30" i="32"/>
  <c r="W31" i="32" s="1"/>
  <c r="AA30" i="32"/>
  <c r="AA31" i="32" s="1"/>
  <c r="AE31" i="32"/>
  <c r="E36" i="32"/>
  <c r="D37" i="32"/>
  <c r="H37" i="32"/>
  <c r="L37" i="32"/>
  <c r="P37" i="32"/>
  <c r="T37" i="32"/>
  <c r="X37" i="32"/>
  <c r="AB37" i="32"/>
  <c r="J30" i="32"/>
  <c r="J31" i="32" s="1"/>
  <c r="V30" i="32"/>
  <c r="V31" i="32" s="1"/>
  <c r="Z30" i="32"/>
  <c r="Z31" i="32" s="1"/>
  <c r="F28" i="32"/>
  <c r="J28" i="32"/>
  <c r="N28" i="32"/>
  <c r="R28" i="32"/>
  <c r="V28" i="32"/>
  <c r="Z28" i="32"/>
  <c r="D30" i="32"/>
  <c r="D31" i="32" s="1"/>
  <c r="H30" i="32"/>
  <c r="H31" i="32" s="1"/>
  <c r="L30" i="32"/>
  <c r="L31" i="32" s="1"/>
  <c r="P30" i="32"/>
  <c r="P31" i="32" s="1"/>
  <c r="T30" i="32"/>
  <c r="T31" i="32" s="1"/>
  <c r="X30" i="32"/>
  <c r="X31" i="32" s="1"/>
  <c r="AB30" i="32"/>
  <c r="AB31" i="32" s="1"/>
  <c r="F36" i="32"/>
  <c r="E37" i="32"/>
  <c r="I37" i="32"/>
  <c r="M37" i="32"/>
  <c r="Q37" i="32"/>
  <c r="U37" i="32"/>
  <c r="Y37" i="32"/>
  <c r="AC37" i="32"/>
  <c r="F30" i="32"/>
  <c r="F31" i="32" s="1"/>
  <c r="R30" i="32"/>
  <c r="R31" i="32" s="1"/>
  <c r="AD30" i="32"/>
  <c r="AD31" i="32" s="1"/>
  <c r="G28" i="32"/>
  <c r="K28" i="32"/>
  <c r="O28" i="32"/>
  <c r="S28" i="32"/>
  <c r="W28" i="32"/>
  <c r="AA28" i="32"/>
  <c r="G30" i="30"/>
  <c r="G31" i="30" s="1"/>
  <c r="O30" i="30"/>
  <c r="O31" i="30" s="1"/>
  <c r="AA30" i="30"/>
  <c r="AA31" i="30" s="1"/>
  <c r="G27" i="30"/>
  <c r="K27" i="30"/>
  <c r="O27" i="30"/>
  <c r="S27" i="30"/>
  <c r="W27" i="30"/>
  <c r="AA27" i="30"/>
  <c r="F28" i="30"/>
  <c r="J28" i="30"/>
  <c r="N28" i="30"/>
  <c r="R28" i="30"/>
  <c r="V28" i="30"/>
  <c r="Z28" i="30"/>
  <c r="AD28" i="30"/>
  <c r="D30" i="30"/>
  <c r="D31" i="30" s="1"/>
  <c r="H30" i="30"/>
  <c r="H31" i="30" s="1"/>
  <c r="L30" i="30"/>
  <c r="L31" i="30" s="1"/>
  <c r="P30" i="30"/>
  <c r="P31" i="30" s="1"/>
  <c r="T30" i="30"/>
  <c r="T31" i="30" s="1"/>
  <c r="X30" i="30"/>
  <c r="X31" i="30" s="1"/>
  <c r="AB30" i="30"/>
  <c r="AB31" i="30" s="1"/>
  <c r="F36" i="30"/>
  <c r="E37" i="30"/>
  <c r="I37" i="30"/>
  <c r="M37" i="30"/>
  <c r="Q37" i="30"/>
  <c r="U37" i="30"/>
  <c r="Y37" i="30"/>
  <c r="AC37" i="30"/>
  <c r="S30" i="30"/>
  <c r="S31" i="30" s="1"/>
  <c r="G28" i="30"/>
  <c r="K28" i="30"/>
  <c r="O28" i="30"/>
  <c r="S28" i="30"/>
  <c r="W28" i="30"/>
  <c r="AA28" i="30"/>
  <c r="E30" i="30"/>
  <c r="E31" i="30" s="1"/>
  <c r="I30" i="30"/>
  <c r="I31" i="30" s="1"/>
  <c r="M30" i="30"/>
  <c r="M31" i="30" s="1"/>
  <c r="Q30" i="30"/>
  <c r="Q31" i="30" s="1"/>
  <c r="U30" i="30"/>
  <c r="U31" i="30" s="1"/>
  <c r="Y30" i="30"/>
  <c r="Y31" i="30" s="1"/>
  <c r="AC30" i="30"/>
  <c r="AC31" i="30" s="1"/>
  <c r="G36" i="30"/>
  <c r="F37" i="30"/>
  <c r="J37" i="30"/>
  <c r="N37" i="30"/>
  <c r="R37" i="30"/>
  <c r="V37" i="30"/>
  <c r="Z37" i="30"/>
  <c r="AD37" i="30"/>
  <c r="K30" i="30"/>
  <c r="K31" i="30" s="1"/>
  <c r="W30" i="30"/>
  <c r="W31" i="30" s="1"/>
  <c r="D28" i="30"/>
  <c r="H28" i="30"/>
  <c r="L28" i="30"/>
  <c r="P28" i="30"/>
  <c r="T28" i="30"/>
  <c r="X28" i="30"/>
  <c r="AB28" i="30"/>
  <c r="M30" i="29"/>
  <c r="M31" i="29" s="1"/>
  <c r="E27" i="29"/>
  <c r="I27" i="29"/>
  <c r="M27" i="29"/>
  <c r="D28" i="29"/>
  <c r="H28" i="29"/>
  <c r="L28" i="29"/>
  <c r="F30" i="29"/>
  <c r="F31" i="29" s="1"/>
  <c r="J30" i="29"/>
  <c r="J31" i="29" s="1"/>
  <c r="N30" i="29"/>
  <c r="N31" i="29" s="1"/>
  <c r="R31" i="29"/>
  <c r="G37" i="29"/>
  <c r="K37" i="29"/>
  <c r="O37" i="29"/>
  <c r="E30" i="29"/>
  <c r="E31" i="29" s="1"/>
  <c r="Q30" i="29"/>
  <c r="Q31" i="29" s="1"/>
  <c r="F27" i="29"/>
  <c r="J27" i="29"/>
  <c r="N27" i="29"/>
  <c r="E28" i="29"/>
  <c r="I28" i="29"/>
  <c r="M28" i="29"/>
  <c r="G30" i="29"/>
  <c r="G31" i="29" s="1"/>
  <c r="K30" i="29"/>
  <c r="K31" i="29" s="1"/>
  <c r="O30" i="29"/>
  <c r="O31" i="29" s="1"/>
  <c r="D37" i="29"/>
  <c r="H37" i="29"/>
  <c r="L37" i="29"/>
  <c r="P37" i="29"/>
  <c r="I30" i="29"/>
  <c r="I31" i="29" s="1"/>
  <c r="F28" i="29"/>
  <c r="J28" i="29"/>
  <c r="N28" i="29"/>
  <c r="F30" i="27"/>
  <c r="F31" i="27" s="1"/>
  <c r="R30" i="27"/>
  <c r="R31" i="27" s="1"/>
  <c r="AD30" i="27"/>
  <c r="AD31" i="27" s="1"/>
  <c r="F27" i="27"/>
  <c r="J27" i="27"/>
  <c r="N27" i="27"/>
  <c r="R27" i="27"/>
  <c r="E28" i="27"/>
  <c r="I28" i="27"/>
  <c r="M28" i="27"/>
  <c r="Q28" i="27"/>
  <c r="U28" i="27"/>
  <c r="Y28" i="27"/>
  <c r="AC28" i="27"/>
  <c r="G30" i="27"/>
  <c r="G31" i="27" s="1"/>
  <c r="K30" i="27"/>
  <c r="K31" i="27" s="1"/>
  <c r="O30" i="27"/>
  <c r="O31" i="27" s="1"/>
  <c r="S30" i="27"/>
  <c r="S31" i="27" s="1"/>
  <c r="W30" i="27"/>
  <c r="W31" i="27" s="1"/>
  <c r="AA30" i="27"/>
  <c r="AA31" i="27" s="1"/>
  <c r="E36" i="27"/>
  <c r="D37" i="27"/>
  <c r="H37" i="27"/>
  <c r="L37" i="27"/>
  <c r="P37" i="27"/>
  <c r="T37" i="27"/>
  <c r="X37" i="27"/>
  <c r="AB37" i="27"/>
  <c r="J30" i="27"/>
  <c r="J31" i="27" s="1"/>
  <c r="Z30" i="27"/>
  <c r="Z31" i="27" s="1"/>
  <c r="G27" i="27"/>
  <c r="K27" i="27"/>
  <c r="O27" i="27"/>
  <c r="S27" i="27"/>
  <c r="F28" i="27"/>
  <c r="J28" i="27"/>
  <c r="N28" i="27"/>
  <c r="R28" i="27"/>
  <c r="V28" i="27"/>
  <c r="Z28" i="27"/>
  <c r="AD28" i="27"/>
  <c r="D30" i="27"/>
  <c r="D31" i="27" s="1"/>
  <c r="H30" i="27"/>
  <c r="H31" i="27" s="1"/>
  <c r="L30" i="27"/>
  <c r="L31" i="27" s="1"/>
  <c r="P30" i="27"/>
  <c r="P31" i="27" s="1"/>
  <c r="T30" i="27"/>
  <c r="T31" i="27" s="1"/>
  <c r="X30" i="27"/>
  <c r="X31" i="27" s="1"/>
  <c r="AB30" i="27"/>
  <c r="AB31" i="27" s="1"/>
  <c r="F36" i="27"/>
  <c r="E37" i="27"/>
  <c r="I37" i="27"/>
  <c r="M37" i="27"/>
  <c r="Q37" i="27"/>
  <c r="U37" i="27"/>
  <c r="Y37" i="27"/>
  <c r="AC37" i="27"/>
  <c r="N30" i="27"/>
  <c r="N31" i="27" s="1"/>
  <c r="V30" i="27"/>
  <c r="V31" i="27" s="1"/>
  <c r="G28" i="27"/>
  <c r="K28" i="27"/>
  <c r="O28" i="27"/>
  <c r="S28" i="27"/>
  <c r="W28" i="27"/>
  <c r="AA28" i="27"/>
  <c r="AA27" i="26"/>
  <c r="Z28" i="26"/>
  <c r="D30" i="26"/>
  <c r="D31" i="26" s="1"/>
  <c r="AB30" i="26"/>
  <c r="AB31" i="26" s="1"/>
  <c r="E37" i="26"/>
  <c r="Y37" i="26"/>
  <c r="AC37" i="26"/>
  <c r="AA30" i="26"/>
  <c r="AA31" i="26" s="1"/>
  <c r="D27" i="26"/>
  <c r="AB27" i="26"/>
  <c r="AA28" i="26"/>
  <c r="Z37" i="26"/>
  <c r="E30" i="25"/>
  <c r="E31" i="25" s="1"/>
  <c r="Q30" i="25"/>
  <c r="Q31" i="25" s="1"/>
  <c r="E27" i="25"/>
  <c r="I27" i="25"/>
  <c r="M27" i="25"/>
  <c r="Q27" i="25"/>
  <c r="U27" i="25"/>
  <c r="Y27" i="25"/>
  <c r="D28" i="25"/>
  <c r="H28" i="25"/>
  <c r="L28" i="25"/>
  <c r="P28" i="25"/>
  <c r="T28" i="25"/>
  <c r="X28" i="25"/>
  <c r="F30" i="25"/>
  <c r="F31" i="25" s="1"/>
  <c r="J30" i="25"/>
  <c r="J31" i="25" s="1"/>
  <c r="N30" i="25"/>
  <c r="N31" i="25" s="1"/>
  <c r="R30" i="25"/>
  <c r="R31" i="25" s="1"/>
  <c r="V30" i="25"/>
  <c r="V31" i="25" s="1"/>
  <c r="Z30" i="25"/>
  <c r="Z31" i="25" s="1"/>
  <c r="G37" i="25"/>
  <c r="K37" i="25"/>
  <c r="O37" i="25"/>
  <c r="S37" i="25"/>
  <c r="W37" i="25"/>
  <c r="I30" i="25"/>
  <c r="I31" i="25" s="1"/>
  <c r="U30" i="25"/>
  <c r="U31" i="25" s="1"/>
  <c r="F27" i="25"/>
  <c r="J27" i="25"/>
  <c r="N27" i="25"/>
  <c r="R27" i="25"/>
  <c r="V27" i="25"/>
  <c r="E28" i="25"/>
  <c r="I28" i="25"/>
  <c r="M28" i="25"/>
  <c r="Q28" i="25"/>
  <c r="U28" i="25"/>
  <c r="Y28" i="25"/>
  <c r="D37" i="25"/>
  <c r="H37" i="25"/>
  <c r="L37" i="25"/>
  <c r="P37" i="25"/>
  <c r="T37" i="25"/>
  <c r="X37" i="25"/>
  <c r="M30" i="25"/>
  <c r="M31" i="25" s="1"/>
  <c r="Y30" i="25"/>
  <c r="Y31" i="25" s="1"/>
  <c r="J30" i="24"/>
  <c r="J31" i="24" s="1"/>
  <c r="F27" i="24"/>
  <c r="J27" i="24"/>
  <c r="N27" i="24"/>
  <c r="E28" i="24"/>
  <c r="I28" i="24"/>
  <c r="M28" i="24"/>
  <c r="G30" i="24"/>
  <c r="G31" i="24" s="1"/>
  <c r="K30" i="24"/>
  <c r="K31" i="24" s="1"/>
  <c r="O30" i="24"/>
  <c r="O31" i="24" s="1"/>
  <c r="D37" i="24"/>
  <c r="H37" i="24"/>
  <c r="L37" i="24"/>
  <c r="P37" i="24"/>
  <c r="N30" i="24"/>
  <c r="N31" i="24" s="1"/>
  <c r="G27" i="24"/>
  <c r="K27" i="24"/>
  <c r="O27" i="24"/>
  <c r="F28" i="24"/>
  <c r="J28" i="24"/>
  <c r="N28" i="24"/>
  <c r="D30" i="24"/>
  <c r="D31" i="24" s="1"/>
  <c r="H30" i="24"/>
  <c r="H31" i="24" s="1"/>
  <c r="L30" i="24"/>
  <c r="L31" i="24" s="1"/>
  <c r="P30" i="24"/>
  <c r="P31" i="24" s="1"/>
  <c r="E37" i="24"/>
  <c r="I37" i="24"/>
  <c r="M37" i="24"/>
  <c r="F30" i="24"/>
  <c r="F31" i="24" s="1"/>
  <c r="G28" i="24"/>
  <c r="K28" i="24"/>
  <c r="O28" i="24"/>
  <c r="E27" i="23"/>
  <c r="Q27" i="23"/>
  <c r="Y27" i="23"/>
  <c r="AC27" i="23"/>
  <c r="F30" i="23"/>
  <c r="F31" i="23" s="1"/>
  <c r="R30" i="23"/>
  <c r="R31" i="23" s="1"/>
  <c r="Z30" i="23"/>
  <c r="Z31" i="23" s="1"/>
  <c r="F27" i="23"/>
  <c r="J27" i="23"/>
  <c r="N27" i="23"/>
  <c r="R27" i="23"/>
  <c r="V27" i="23"/>
  <c r="Z27" i="23"/>
  <c r="AD27" i="23"/>
  <c r="E28" i="23"/>
  <c r="M28" i="23"/>
  <c r="Q28" i="23"/>
  <c r="U28" i="23"/>
  <c r="Y28" i="23"/>
  <c r="AC28" i="23"/>
  <c r="G30" i="23"/>
  <c r="G31" i="23" s="1"/>
  <c r="K30" i="23"/>
  <c r="K31" i="23" s="1"/>
  <c r="O30" i="23"/>
  <c r="O31" i="23" s="1"/>
  <c r="S30" i="23"/>
  <c r="S31" i="23" s="1"/>
  <c r="W30" i="23"/>
  <c r="W31" i="23" s="1"/>
  <c r="AA30" i="23"/>
  <c r="AA31" i="23" s="1"/>
  <c r="AE30" i="23"/>
  <c r="AE31" i="23" s="1"/>
  <c r="E36" i="23"/>
  <c r="D37" i="23"/>
  <c r="L37" i="23"/>
  <c r="P37" i="23"/>
  <c r="T37" i="23"/>
  <c r="X37" i="23"/>
  <c r="AB37" i="23"/>
  <c r="M27" i="23"/>
  <c r="U27" i="23"/>
  <c r="J30" i="23"/>
  <c r="J31" i="23" s="1"/>
  <c r="N30" i="23"/>
  <c r="N31" i="23" s="1"/>
  <c r="V30" i="23"/>
  <c r="V31" i="23" s="1"/>
  <c r="AD30" i="23"/>
  <c r="AD31" i="23" s="1"/>
  <c r="F28" i="23"/>
  <c r="J28" i="23"/>
  <c r="N28" i="23"/>
  <c r="R28" i="23"/>
  <c r="V28" i="23"/>
  <c r="Z28" i="23"/>
  <c r="AD28" i="23"/>
  <c r="F36" i="23"/>
  <c r="E37" i="23"/>
  <c r="M37" i="23"/>
  <c r="Q37" i="23"/>
  <c r="U37" i="23"/>
  <c r="Y37" i="23"/>
  <c r="AC37" i="23"/>
  <c r="F27" i="22"/>
  <c r="J27" i="22"/>
  <c r="N27" i="22"/>
  <c r="R27" i="22"/>
  <c r="V27" i="22"/>
  <c r="Z27" i="22"/>
  <c r="E28" i="22"/>
  <c r="AC28" i="22"/>
  <c r="G30" i="22"/>
  <c r="G31" i="22" s="1"/>
  <c r="AE31" i="22"/>
  <c r="E36" i="22"/>
  <c r="D37" i="22"/>
  <c r="H37" i="22"/>
  <c r="AB37" i="22"/>
  <c r="F28" i="22"/>
  <c r="D30" i="22"/>
  <c r="D31" i="22" s="1"/>
  <c r="H30" i="22"/>
  <c r="H31" i="22" s="1"/>
  <c r="AB30" i="22"/>
  <c r="AB31" i="22" s="1"/>
  <c r="F36" i="22"/>
  <c r="E37" i="22"/>
  <c r="AC37" i="22"/>
  <c r="F30" i="22"/>
  <c r="F31" i="22" s="1"/>
  <c r="AD30" i="22"/>
  <c r="AD31" i="22" s="1"/>
  <c r="G28" i="22"/>
  <c r="J30" i="21"/>
  <c r="J31" i="21" s="1"/>
  <c r="F27" i="21"/>
  <c r="J27" i="21"/>
  <c r="N27" i="21"/>
  <c r="E28" i="21"/>
  <c r="I28" i="21"/>
  <c r="M28" i="21"/>
  <c r="Q28" i="21"/>
  <c r="G30" i="21"/>
  <c r="G31" i="21" s="1"/>
  <c r="K30" i="21"/>
  <c r="K31" i="21" s="1"/>
  <c r="O30" i="21"/>
  <c r="O31" i="21" s="1"/>
  <c r="D37" i="21"/>
  <c r="H37" i="21"/>
  <c r="L37" i="21"/>
  <c r="P37" i="21"/>
  <c r="N30" i="21"/>
  <c r="N31" i="21" s="1"/>
  <c r="G27" i="21"/>
  <c r="K27" i="21"/>
  <c r="O27" i="21"/>
  <c r="F28" i="21"/>
  <c r="J28" i="21"/>
  <c r="N28" i="21"/>
  <c r="E37" i="21"/>
  <c r="I37" i="21"/>
  <c r="M37" i="21"/>
  <c r="Q37" i="21"/>
  <c r="F30" i="21"/>
  <c r="F31" i="21" s="1"/>
  <c r="J30" i="20"/>
  <c r="J31" i="20" s="1"/>
  <c r="V30" i="20"/>
  <c r="V31" i="20" s="1"/>
  <c r="F27" i="20"/>
  <c r="J27" i="20"/>
  <c r="N27" i="20"/>
  <c r="R27" i="20"/>
  <c r="V27" i="20"/>
  <c r="Z27" i="20"/>
  <c r="E28" i="20"/>
  <c r="I28" i="20"/>
  <c r="M28" i="20"/>
  <c r="Q28" i="20"/>
  <c r="U28" i="20"/>
  <c r="Y28" i="20"/>
  <c r="AC28" i="20"/>
  <c r="G30" i="20"/>
  <c r="G31" i="20" s="1"/>
  <c r="K30" i="20"/>
  <c r="K31" i="20" s="1"/>
  <c r="O30" i="20"/>
  <c r="O31" i="20" s="1"/>
  <c r="S30" i="20"/>
  <c r="S31" i="20" s="1"/>
  <c r="W30" i="20"/>
  <c r="W31" i="20" s="1"/>
  <c r="AA30" i="20"/>
  <c r="AA31" i="20" s="1"/>
  <c r="E36" i="20"/>
  <c r="D37" i="20"/>
  <c r="H37" i="20"/>
  <c r="L37" i="20"/>
  <c r="P37" i="20"/>
  <c r="T37" i="20"/>
  <c r="X37" i="20"/>
  <c r="AB37" i="20"/>
  <c r="N30" i="20"/>
  <c r="N31" i="20" s="1"/>
  <c r="Z30" i="20"/>
  <c r="Z31" i="20" s="1"/>
  <c r="G27" i="20"/>
  <c r="K27" i="20"/>
  <c r="O27" i="20"/>
  <c r="S27" i="20"/>
  <c r="W27" i="20"/>
  <c r="AA27" i="20"/>
  <c r="F28" i="20"/>
  <c r="J28" i="20"/>
  <c r="N28" i="20"/>
  <c r="R28" i="20"/>
  <c r="V28" i="20"/>
  <c r="Z28" i="20"/>
  <c r="D30" i="20"/>
  <c r="D31" i="20" s="1"/>
  <c r="H30" i="20"/>
  <c r="H31" i="20" s="1"/>
  <c r="L30" i="20"/>
  <c r="L31" i="20" s="1"/>
  <c r="P30" i="20"/>
  <c r="P31" i="20" s="1"/>
  <c r="T30" i="20"/>
  <c r="T31" i="20" s="1"/>
  <c r="X30" i="20"/>
  <c r="X31" i="20" s="1"/>
  <c r="AB30" i="20"/>
  <c r="AB31" i="20" s="1"/>
  <c r="F36" i="20"/>
  <c r="E37" i="20"/>
  <c r="I37" i="20"/>
  <c r="M37" i="20"/>
  <c r="Q37" i="20"/>
  <c r="U37" i="20"/>
  <c r="Y37" i="20"/>
  <c r="AC37" i="20"/>
  <c r="F30" i="20"/>
  <c r="F31" i="20" s="1"/>
  <c r="R30" i="20"/>
  <c r="R31" i="20" s="1"/>
  <c r="G28" i="20"/>
  <c r="K28" i="20"/>
  <c r="O28" i="20"/>
  <c r="S28" i="20"/>
  <c r="W28" i="20"/>
  <c r="AA28" i="20"/>
  <c r="K28" i="19"/>
  <c r="K30" i="19"/>
  <c r="K31" i="19" s="1"/>
  <c r="K27" i="19"/>
  <c r="AE31" i="19"/>
  <c r="G28" i="19"/>
  <c r="G30" i="19"/>
  <c r="G31" i="19" s="1"/>
  <c r="G27" i="19"/>
  <c r="O28" i="19"/>
  <c r="O30" i="19"/>
  <c r="O31" i="19" s="1"/>
  <c r="O27" i="19"/>
  <c r="S28" i="19"/>
  <c r="S30" i="19"/>
  <c r="S31" i="19" s="1"/>
  <c r="S27" i="19"/>
  <c r="W28" i="19"/>
  <c r="W30" i="19"/>
  <c r="W31" i="19" s="1"/>
  <c r="W27" i="19"/>
  <c r="AA28" i="19"/>
  <c r="AA30" i="19"/>
  <c r="AA31" i="19" s="1"/>
  <c r="AA27" i="19"/>
  <c r="N30" i="19"/>
  <c r="N31" i="19" s="1"/>
  <c r="K37" i="19"/>
  <c r="S37" i="19"/>
  <c r="AA37" i="19"/>
  <c r="F37" i="19"/>
  <c r="F28" i="19"/>
  <c r="J37" i="19"/>
  <c r="J28" i="19"/>
  <c r="N37" i="19"/>
  <c r="N28" i="19"/>
  <c r="R37" i="19"/>
  <c r="R28" i="19"/>
  <c r="V37" i="19"/>
  <c r="V28" i="19"/>
  <c r="Z37" i="19"/>
  <c r="Z28" i="19"/>
  <c r="F30" i="19"/>
  <c r="F31" i="19" s="1"/>
  <c r="V30" i="19"/>
  <c r="V31" i="19" s="1"/>
  <c r="G37" i="19"/>
  <c r="O37" i="19"/>
  <c r="W37" i="19"/>
  <c r="D30" i="19"/>
  <c r="D31" i="19" s="1"/>
  <c r="H30" i="19"/>
  <c r="H31" i="19" s="1"/>
  <c r="L30" i="19"/>
  <c r="L31" i="19" s="1"/>
  <c r="P30" i="19"/>
  <c r="P31" i="19" s="1"/>
  <c r="T30" i="19"/>
  <c r="T31" i="19" s="1"/>
  <c r="X30" i="19"/>
  <c r="X31" i="19" s="1"/>
  <c r="AB30" i="19"/>
  <c r="AB31" i="19" s="1"/>
  <c r="E37" i="19"/>
  <c r="I37" i="19"/>
  <c r="M37" i="19"/>
  <c r="Q37" i="19"/>
  <c r="U37" i="19"/>
  <c r="Y37" i="19"/>
  <c r="N30" i="18"/>
  <c r="N31" i="18" s="1"/>
  <c r="Z30" i="18"/>
  <c r="Z31" i="18" s="1"/>
  <c r="F27" i="18"/>
  <c r="J27" i="18"/>
  <c r="N27" i="18"/>
  <c r="R27" i="18"/>
  <c r="V27" i="18"/>
  <c r="Z27" i="18"/>
  <c r="E28" i="18"/>
  <c r="I28" i="18"/>
  <c r="M28" i="18"/>
  <c r="Q28" i="18"/>
  <c r="U28" i="18"/>
  <c r="Y28" i="18"/>
  <c r="AC28" i="18"/>
  <c r="G30" i="18"/>
  <c r="G31" i="18" s="1"/>
  <c r="K30" i="18"/>
  <c r="K31" i="18" s="1"/>
  <c r="O30" i="18"/>
  <c r="O31" i="18" s="1"/>
  <c r="S30" i="18"/>
  <c r="S31" i="18" s="1"/>
  <c r="W30" i="18"/>
  <c r="W31" i="18" s="1"/>
  <c r="AA30" i="18"/>
  <c r="AA31" i="18" s="1"/>
  <c r="E36" i="18"/>
  <c r="D37" i="18"/>
  <c r="H37" i="18"/>
  <c r="L37" i="18"/>
  <c r="P37" i="18"/>
  <c r="T37" i="18"/>
  <c r="X37" i="18"/>
  <c r="AB37" i="18"/>
  <c r="F30" i="18"/>
  <c r="F31" i="18" s="1"/>
  <c r="R30" i="18"/>
  <c r="R31" i="18" s="1"/>
  <c r="G27" i="18"/>
  <c r="K27" i="18"/>
  <c r="O27" i="18"/>
  <c r="S27" i="18"/>
  <c r="W27" i="18"/>
  <c r="AA27" i="18"/>
  <c r="F28" i="18"/>
  <c r="J28" i="18"/>
  <c r="N28" i="18"/>
  <c r="R28" i="18"/>
  <c r="V28" i="18"/>
  <c r="Z28" i="18"/>
  <c r="D30" i="18"/>
  <c r="D31" i="18" s="1"/>
  <c r="H30" i="18"/>
  <c r="H31" i="18" s="1"/>
  <c r="L30" i="18"/>
  <c r="L31" i="18" s="1"/>
  <c r="P30" i="18"/>
  <c r="P31" i="18" s="1"/>
  <c r="T30" i="18"/>
  <c r="T31" i="18" s="1"/>
  <c r="X30" i="18"/>
  <c r="X31" i="18" s="1"/>
  <c r="AB30" i="18"/>
  <c r="AB31" i="18" s="1"/>
  <c r="F36" i="18"/>
  <c r="E37" i="18"/>
  <c r="I37" i="18"/>
  <c r="M37" i="18"/>
  <c r="Q37" i="18"/>
  <c r="U37" i="18"/>
  <c r="Y37" i="18"/>
  <c r="AC37" i="18"/>
  <c r="J30" i="18"/>
  <c r="J31" i="18" s="1"/>
  <c r="V30" i="18"/>
  <c r="V31" i="18" s="1"/>
  <c r="G28" i="18"/>
  <c r="K28" i="18"/>
  <c r="O28" i="18"/>
  <c r="S28" i="18"/>
  <c r="W28" i="18"/>
  <c r="AA28" i="18"/>
  <c r="G27" i="17"/>
  <c r="G37" i="17"/>
  <c r="K27" i="17"/>
  <c r="K37" i="17"/>
  <c r="G28" i="17"/>
  <c r="G30" i="17"/>
  <c r="G31" i="17" s="1"/>
  <c r="E37" i="17"/>
  <c r="E27" i="17"/>
  <c r="I37" i="17"/>
  <c r="I27" i="17"/>
  <c r="Y27" i="17"/>
  <c r="E28" i="17"/>
  <c r="K30" i="17"/>
  <c r="K31" i="17" s="1"/>
  <c r="D28" i="17"/>
  <c r="H28" i="17"/>
  <c r="X28" i="17"/>
  <c r="F30" i="17"/>
  <c r="F31" i="17" s="1"/>
  <c r="J30" i="17"/>
  <c r="J31" i="17" s="1"/>
  <c r="D37" i="16"/>
  <c r="D36" i="16"/>
  <c r="D28" i="16"/>
  <c r="D27" i="16"/>
  <c r="H37" i="16"/>
  <c r="H28" i="16"/>
  <c r="H27" i="16"/>
  <c r="L37" i="16"/>
  <c r="L28" i="16"/>
  <c r="L27" i="16"/>
  <c r="P37" i="16"/>
  <c r="P28" i="16"/>
  <c r="P27" i="16"/>
  <c r="T37" i="16"/>
  <c r="T28" i="16"/>
  <c r="T27" i="16"/>
  <c r="X37" i="16"/>
  <c r="X28" i="16"/>
  <c r="X27" i="16"/>
  <c r="AB28" i="16"/>
  <c r="D30" i="16"/>
  <c r="D31" i="16" s="1"/>
  <c r="T30" i="16"/>
  <c r="T31" i="16" s="1"/>
  <c r="E36" i="16"/>
  <c r="E28" i="16"/>
  <c r="E27" i="16"/>
  <c r="E30" i="16"/>
  <c r="E31" i="16" s="1"/>
  <c r="I28" i="16"/>
  <c r="I27" i="16"/>
  <c r="I30" i="16"/>
  <c r="I31" i="16" s="1"/>
  <c r="M28" i="16"/>
  <c r="M27" i="16"/>
  <c r="M30" i="16"/>
  <c r="M31" i="16" s="1"/>
  <c r="Q28" i="16"/>
  <c r="Q27" i="16"/>
  <c r="Q30" i="16"/>
  <c r="Q31" i="16" s="1"/>
  <c r="U28" i="16"/>
  <c r="U27" i="16"/>
  <c r="U30" i="16"/>
  <c r="U31" i="16" s="1"/>
  <c r="Y28" i="16"/>
  <c r="Y27" i="16"/>
  <c r="Y30" i="16"/>
  <c r="Y31" i="16" s="1"/>
  <c r="AC28" i="16"/>
  <c r="M37" i="16"/>
  <c r="F30" i="16"/>
  <c r="F31" i="16" s="1"/>
  <c r="J30" i="16"/>
  <c r="J31" i="16" s="1"/>
  <c r="N30" i="16"/>
  <c r="N31" i="16" s="1"/>
  <c r="R30" i="16"/>
  <c r="R31" i="16" s="1"/>
  <c r="V30" i="16"/>
  <c r="V31" i="16" s="1"/>
  <c r="Z30" i="16"/>
  <c r="Z31" i="16" s="1"/>
  <c r="E28" i="15"/>
  <c r="I28" i="15"/>
  <c r="M28" i="15"/>
  <c r="Q28" i="15"/>
  <c r="G30" i="15"/>
  <c r="G31" i="15" s="1"/>
  <c r="K30" i="15"/>
  <c r="K31" i="15" s="1"/>
  <c r="O30" i="15"/>
  <c r="O31" i="15" s="1"/>
  <c r="S30" i="15"/>
  <c r="S31" i="15" s="1"/>
  <c r="D37" i="15"/>
  <c r="H37" i="15"/>
  <c r="L37" i="15"/>
  <c r="P37" i="15"/>
  <c r="G27" i="15"/>
  <c r="K27" i="15"/>
  <c r="O27" i="15"/>
  <c r="F28" i="15"/>
  <c r="J28" i="15"/>
  <c r="N28" i="15"/>
  <c r="D30" i="15"/>
  <c r="D31" i="15" s="1"/>
  <c r="H30" i="15"/>
  <c r="H31" i="15" s="1"/>
  <c r="L30" i="15"/>
  <c r="L31" i="15" s="1"/>
  <c r="P30" i="15"/>
  <c r="P31" i="15" s="1"/>
  <c r="E37" i="15"/>
  <c r="I37" i="15"/>
  <c r="M37" i="15"/>
  <c r="Q37" i="15"/>
  <c r="G28" i="15"/>
  <c r="K28" i="15"/>
  <c r="O28" i="15"/>
  <c r="E30" i="15"/>
  <c r="E31" i="15" s="1"/>
  <c r="I30" i="15"/>
  <c r="I31" i="15" s="1"/>
  <c r="M30" i="15"/>
  <c r="M31" i="15" s="1"/>
  <c r="Q30" i="15"/>
  <c r="Q31" i="15" s="1"/>
  <c r="F37" i="15"/>
  <c r="J37" i="15"/>
  <c r="N37" i="15"/>
  <c r="R37" i="15"/>
  <c r="D28" i="15"/>
  <c r="H28" i="15"/>
  <c r="L28" i="15"/>
  <c r="P28" i="15"/>
  <c r="G30" i="14"/>
  <c r="G31" i="14" s="1"/>
  <c r="O30" i="14"/>
  <c r="O31" i="14" s="1"/>
  <c r="AA30" i="14"/>
  <c r="AA31" i="14" s="1"/>
  <c r="G27" i="14"/>
  <c r="K27" i="14"/>
  <c r="O27" i="14"/>
  <c r="S27" i="14"/>
  <c r="W27" i="14"/>
  <c r="AA27" i="14"/>
  <c r="F28" i="14"/>
  <c r="J28" i="14"/>
  <c r="N28" i="14"/>
  <c r="R28" i="14"/>
  <c r="V28" i="14"/>
  <c r="Z28" i="14"/>
  <c r="D30" i="14"/>
  <c r="D31" i="14" s="1"/>
  <c r="H30" i="14"/>
  <c r="H31" i="14" s="1"/>
  <c r="L30" i="14"/>
  <c r="L31" i="14" s="1"/>
  <c r="P30" i="14"/>
  <c r="P31" i="14" s="1"/>
  <c r="T30" i="14"/>
  <c r="T31" i="14" s="1"/>
  <c r="X30" i="14"/>
  <c r="X31" i="14" s="1"/>
  <c r="F36" i="14"/>
  <c r="E37" i="14"/>
  <c r="I37" i="14"/>
  <c r="M37" i="14"/>
  <c r="Q37" i="14"/>
  <c r="U37" i="14"/>
  <c r="Y37" i="14"/>
  <c r="S30" i="14"/>
  <c r="S31" i="14" s="1"/>
  <c r="G28" i="14"/>
  <c r="K28" i="14"/>
  <c r="O28" i="14"/>
  <c r="S28" i="14"/>
  <c r="W28" i="14"/>
  <c r="AA28" i="14"/>
  <c r="E30" i="14"/>
  <c r="E31" i="14" s="1"/>
  <c r="I30" i="14"/>
  <c r="I31" i="14" s="1"/>
  <c r="M30" i="14"/>
  <c r="M31" i="14" s="1"/>
  <c r="Q30" i="14"/>
  <c r="Q31" i="14" s="1"/>
  <c r="U30" i="14"/>
  <c r="U31" i="14" s="1"/>
  <c r="Y30" i="14"/>
  <c r="Y31" i="14" s="1"/>
  <c r="F37" i="14"/>
  <c r="J37" i="14"/>
  <c r="N37" i="14"/>
  <c r="R37" i="14"/>
  <c r="V37" i="14"/>
  <c r="Z37" i="14"/>
  <c r="K30" i="14"/>
  <c r="K31" i="14" s="1"/>
  <c r="W30" i="14"/>
  <c r="W31" i="14" s="1"/>
  <c r="D28" i="14"/>
  <c r="H28" i="14"/>
  <c r="L28" i="14"/>
  <c r="P28" i="14"/>
  <c r="T28" i="14"/>
  <c r="X28" i="14"/>
  <c r="E27" i="13"/>
  <c r="H28" i="13"/>
  <c r="F30" i="13"/>
  <c r="F31" i="13" s="1"/>
  <c r="G37" i="13"/>
  <c r="E30" i="13"/>
  <c r="E31" i="13" s="1"/>
  <c r="E28" i="13"/>
  <c r="G30" i="13"/>
  <c r="G31" i="13" s="1"/>
  <c r="H37" i="13"/>
  <c r="F28" i="13"/>
  <c r="N30" i="12"/>
  <c r="N31" i="12" s="1"/>
  <c r="F27" i="12"/>
  <c r="J27" i="12"/>
  <c r="N27" i="12"/>
  <c r="R27" i="12"/>
  <c r="V27" i="12"/>
  <c r="Z27" i="12"/>
  <c r="E28" i="12"/>
  <c r="I28" i="12"/>
  <c r="M28" i="12"/>
  <c r="Q28" i="12"/>
  <c r="U28" i="12"/>
  <c r="Y28" i="12"/>
  <c r="G30" i="12"/>
  <c r="G31" i="12" s="1"/>
  <c r="K30" i="12"/>
  <c r="K31" i="12" s="1"/>
  <c r="O30" i="12"/>
  <c r="O31" i="12" s="1"/>
  <c r="S30" i="12"/>
  <c r="S31" i="12" s="1"/>
  <c r="W30" i="12"/>
  <c r="W31" i="12" s="1"/>
  <c r="AA30" i="12"/>
  <c r="AA31" i="12" s="1"/>
  <c r="E36" i="12"/>
  <c r="D37" i="12"/>
  <c r="H37" i="12"/>
  <c r="L37" i="12"/>
  <c r="P37" i="12"/>
  <c r="T37" i="12"/>
  <c r="X37" i="12"/>
  <c r="F30" i="12"/>
  <c r="F31" i="12" s="1"/>
  <c r="V30" i="12"/>
  <c r="V31" i="12" s="1"/>
  <c r="F28" i="12"/>
  <c r="J28" i="12"/>
  <c r="N28" i="12"/>
  <c r="R28" i="12"/>
  <c r="V28" i="12"/>
  <c r="Z28" i="12"/>
  <c r="D30" i="12"/>
  <c r="D31" i="12" s="1"/>
  <c r="H30" i="12"/>
  <c r="H31" i="12" s="1"/>
  <c r="L30" i="12"/>
  <c r="L31" i="12" s="1"/>
  <c r="P30" i="12"/>
  <c r="P31" i="12" s="1"/>
  <c r="T30" i="12"/>
  <c r="T31" i="12" s="1"/>
  <c r="X30" i="12"/>
  <c r="X31" i="12" s="1"/>
  <c r="F36" i="12"/>
  <c r="E37" i="12"/>
  <c r="I37" i="12"/>
  <c r="M37" i="12"/>
  <c r="Q37" i="12"/>
  <c r="U37" i="12"/>
  <c r="Y37" i="12"/>
  <c r="J30" i="12"/>
  <c r="J31" i="12" s="1"/>
  <c r="R30" i="12"/>
  <c r="R31" i="12" s="1"/>
  <c r="Z30" i="12"/>
  <c r="Z31" i="12" s="1"/>
  <c r="G28" i="12"/>
  <c r="K28" i="12"/>
  <c r="O28" i="12"/>
  <c r="S28" i="12"/>
  <c r="W28" i="12"/>
  <c r="AA28" i="12"/>
  <c r="D37" i="11"/>
  <c r="D28" i="11"/>
  <c r="D27" i="11"/>
  <c r="H37" i="11"/>
  <c r="H27" i="11"/>
  <c r="H28" i="11"/>
  <c r="L37" i="11"/>
  <c r="L30" i="11"/>
  <c r="L31" i="11" s="1"/>
  <c r="P37" i="11"/>
  <c r="P30" i="11"/>
  <c r="P31" i="11" s="1"/>
  <c r="H30" i="11"/>
  <c r="H31" i="11" s="1"/>
  <c r="I30" i="11"/>
  <c r="I31" i="11" s="1"/>
  <c r="Q31" i="11"/>
  <c r="E27" i="11"/>
  <c r="I27" i="11"/>
  <c r="F30" i="11"/>
  <c r="F31" i="11" s="1"/>
  <c r="J30" i="11"/>
  <c r="J31" i="11" s="1"/>
  <c r="N30" i="11"/>
  <c r="N31" i="11" s="1"/>
  <c r="G37" i="11"/>
  <c r="K37" i="11"/>
  <c r="O37" i="11"/>
  <c r="E30" i="11"/>
  <c r="E31" i="11" s="1"/>
  <c r="M30" i="11"/>
  <c r="M31" i="11" s="1"/>
  <c r="E28" i="11"/>
  <c r="I28" i="11"/>
  <c r="F28" i="10"/>
  <c r="D30" i="10"/>
  <c r="D31" i="10" s="1"/>
  <c r="E37" i="10"/>
  <c r="D27" i="10"/>
  <c r="F37" i="10"/>
  <c r="G30" i="9"/>
  <c r="G31" i="9" s="1"/>
  <c r="G27" i="9"/>
  <c r="F28" i="9"/>
  <c r="D30" i="9"/>
  <c r="D31" i="9" s="1"/>
  <c r="H30" i="9"/>
  <c r="H31" i="9" s="1"/>
  <c r="L31" i="9"/>
  <c r="E37" i="9"/>
  <c r="K30" i="9"/>
  <c r="K31" i="9" s="1"/>
  <c r="G28" i="9"/>
  <c r="E30" i="9"/>
  <c r="E31" i="9" s="1"/>
  <c r="I30" i="9"/>
  <c r="I31" i="9" s="1"/>
  <c r="F37" i="9"/>
  <c r="J37" i="9"/>
  <c r="D28" i="9"/>
  <c r="H28" i="9"/>
  <c r="F37" i="8"/>
  <c r="J37" i="8"/>
  <c r="L27" i="8"/>
  <c r="L30" i="8"/>
  <c r="L31" i="8" s="1"/>
  <c r="P27" i="8"/>
  <c r="P30" i="8"/>
  <c r="P31" i="8" s="1"/>
  <c r="T27" i="8"/>
  <c r="T30" i="8"/>
  <c r="T31" i="8" s="1"/>
  <c r="X30" i="8"/>
  <c r="X31" i="8" s="1"/>
  <c r="R27" i="8"/>
  <c r="H28" i="8"/>
  <c r="N30" i="8"/>
  <c r="N31" i="8" s="1"/>
  <c r="L37" i="8"/>
  <c r="N27" i="8"/>
  <c r="S27" i="8"/>
  <c r="D28" i="8"/>
  <c r="T28" i="8"/>
  <c r="H30" i="8"/>
  <c r="H31" i="8" s="1"/>
  <c r="O30" i="8"/>
  <c r="O31" i="8" s="1"/>
  <c r="H37" i="8"/>
  <c r="X37" i="8"/>
  <c r="D37" i="8"/>
  <c r="T37" i="8"/>
  <c r="N37" i="8"/>
  <c r="R37" i="8"/>
  <c r="V37" i="8"/>
  <c r="Z37" i="8"/>
  <c r="J27" i="8"/>
  <c r="J28" i="8"/>
  <c r="J30" i="8"/>
  <c r="J31" i="8" s="1"/>
  <c r="R30" i="8"/>
  <c r="R31" i="8" s="1"/>
  <c r="Z30" i="8"/>
  <c r="Z31" i="8" s="1"/>
  <c r="G28" i="8"/>
  <c r="K28" i="8"/>
  <c r="O28" i="8"/>
  <c r="S28" i="8"/>
  <c r="W28" i="8"/>
  <c r="F27" i="8"/>
  <c r="K27" i="8"/>
  <c r="V27" i="8"/>
  <c r="F28" i="8"/>
  <c r="L28" i="8"/>
  <c r="V28" i="8"/>
  <c r="F30" i="8"/>
  <c r="F31" i="8" s="1"/>
  <c r="K30" i="8"/>
  <c r="K31" i="8" s="1"/>
  <c r="S30" i="8"/>
  <c r="S31" i="8" s="1"/>
  <c r="AA30" i="8"/>
  <c r="AA31" i="8" s="1"/>
  <c r="K37" i="8"/>
  <c r="P37" i="8"/>
  <c r="F37" i="7"/>
  <c r="F27" i="7"/>
  <c r="F36" i="7"/>
  <c r="F28" i="7"/>
  <c r="J37" i="7"/>
  <c r="J28" i="7"/>
  <c r="J27" i="7"/>
  <c r="N37" i="7"/>
  <c r="N27" i="7"/>
  <c r="N28" i="7"/>
  <c r="R37" i="7"/>
  <c r="R28" i="7"/>
  <c r="R27" i="7"/>
  <c r="V37" i="7"/>
  <c r="V27" i="7"/>
  <c r="V28" i="7"/>
  <c r="Z37" i="7"/>
  <c r="Z30" i="7"/>
  <c r="Z31" i="7" s="1"/>
  <c r="Z28" i="7"/>
  <c r="Z27" i="7"/>
  <c r="F30" i="7"/>
  <c r="F31" i="7" s="1"/>
  <c r="V30" i="7"/>
  <c r="V31" i="7" s="1"/>
  <c r="J30" i="7"/>
  <c r="J31" i="7" s="1"/>
  <c r="K30" i="7"/>
  <c r="K31" i="7" s="1"/>
  <c r="S30" i="7"/>
  <c r="S31" i="7" s="1"/>
  <c r="AA30" i="7"/>
  <c r="AA31" i="7" s="1"/>
  <c r="G27" i="7"/>
  <c r="K27" i="7"/>
  <c r="O27" i="7"/>
  <c r="S27" i="7"/>
  <c r="W27" i="7"/>
  <c r="AA27" i="7"/>
  <c r="D30" i="7"/>
  <c r="D31" i="7" s="1"/>
  <c r="H30" i="7"/>
  <c r="H31" i="7" s="1"/>
  <c r="L30" i="7"/>
  <c r="L31" i="7" s="1"/>
  <c r="P30" i="7"/>
  <c r="P31" i="7" s="1"/>
  <c r="T30" i="7"/>
  <c r="T31" i="7" s="1"/>
  <c r="X30" i="7"/>
  <c r="X31" i="7" s="1"/>
  <c r="AB30" i="7"/>
  <c r="AB31" i="7" s="1"/>
  <c r="E37" i="7"/>
  <c r="I37" i="7"/>
  <c r="M37" i="7"/>
  <c r="Q37" i="7"/>
  <c r="U37" i="7"/>
  <c r="Y37" i="7"/>
  <c r="AC37" i="7"/>
  <c r="G30" i="7"/>
  <c r="G31" i="7" s="1"/>
  <c r="O30" i="7"/>
  <c r="O31" i="7" s="1"/>
  <c r="W30" i="7"/>
  <c r="W31" i="7" s="1"/>
  <c r="G28" i="7"/>
  <c r="K28" i="7"/>
  <c r="O28" i="7"/>
  <c r="S28" i="7"/>
  <c r="W28" i="7"/>
  <c r="AA28" i="7"/>
  <c r="V30" i="5"/>
  <c r="V31" i="5" s="1"/>
  <c r="V27" i="5"/>
  <c r="U28" i="5"/>
  <c r="W30" i="5"/>
  <c r="W31" i="5" s="1"/>
  <c r="AA30" i="5"/>
  <c r="AA31" i="5" s="1"/>
  <c r="Z30" i="5"/>
  <c r="Z31" i="5" s="1"/>
  <c r="V28" i="5"/>
  <c r="X30" i="5"/>
  <c r="X31" i="5" s="1"/>
  <c r="U37" i="5"/>
  <c r="F37" i="4"/>
  <c r="F28" i="4"/>
  <c r="F27" i="4"/>
  <c r="F30" i="4"/>
  <c r="F31" i="4" s="1"/>
  <c r="J37" i="4"/>
  <c r="J28" i="4"/>
  <c r="J30" i="4"/>
  <c r="J31" i="4" s="1"/>
  <c r="J27" i="4"/>
  <c r="N37" i="4"/>
  <c r="N28" i="4"/>
  <c r="N27" i="4"/>
  <c r="N30" i="4"/>
  <c r="N31" i="4" s="1"/>
  <c r="R37" i="4"/>
  <c r="R28" i="4"/>
  <c r="R30" i="4"/>
  <c r="R31" i="4" s="1"/>
  <c r="R27" i="4"/>
  <c r="E28" i="4"/>
  <c r="I28" i="4"/>
  <c r="M28" i="4"/>
  <c r="Q28" i="4"/>
  <c r="G30" i="4"/>
  <c r="G31" i="4" s="1"/>
  <c r="K30" i="4"/>
  <c r="K31" i="4" s="1"/>
  <c r="O30" i="4"/>
  <c r="O31" i="4" s="1"/>
  <c r="S30" i="4"/>
  <c r="S31" i="4" s="1"/>
  <c r="D37" i="4"/>
  <c r="H37" i="4"/>
  <c r="L37" i="4"/>
  <c r="P37" i="4"/>
  <c r="D30" i="4"/>
  <c r="D31" i="4" s="1"/>
  <c r="H30" i="4"/>
  <c r="H31" i="4" s="1"/>
  <c r="L30" i="4"/>
  <c r="L31" i="4" s="1"/>
  <c r="P30" i="4"/>
  <c r="P31" i="4" s="1"/>
  <c r="E37" i="4"/>
  <c r="I37" i="4"/>
  <c r="M37" i="4"/>
  <c r="Q37" i="4"/>
  <c r="G28" i="4"/>
  <c r="K28" i="4"/>
  <c r="O28" i="4"/>
  <c r="S28" i="4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Z29" i="3"/>
  <c r="Z44" i="3" s="1"/>
  <c r="Y29" i="3"/>
  <c r="Y44" i="3" s="1"/>
  <c r="X29" i="3"/>
  <c r="X44" i="3" s="1"/>
  <c r="W29" i="3"/>
  <c r="W44" i="3" s="1"/>
  <c r="V29" i="3"/>
  <c r="V44" i="3" s="1"/>
  <c r="U29" i="3"/>
  <c r="U44" i="3" s="1"/>
  <c r="T29" i="3"/>
  <c r="T44" i="3" s="1"/>
  <c r="S29" i="3"/>
  <c r="S44" i="3" s="1"/>
  <c r="R29" i="3"/>
  <c r="R44" i="3" s="1"/>
  <c r="Q29" i="3"/>
  <c r="Q44" i="3" s="1"/>
  <c r="P29" i="3"/>
  <c r="P44" i="3" s="1"/>
  <c r="O29" i="3"/>
  <c r="O44" i="3" s="1"/>
  <c r="N29" i="3"/>
  <c r="N44" i="3" s="1"/>
  <c r="M29" i="3"/>
  <c r="M44" i="3" s="1"/>
  <c r="L29" i="3"/>
  <c r="L44" i="3" s="1"/>
  <c r="K29" i="3"/>
  <c r="K44" i="3" s="1"/>
  <c r="J29" i="3"/>
  <c r="J44" i="3" s="1"/>
  <c r="I29" i="3"/>
  <c r="I44" i="3" s="1"/>
  <c r="H29" i="3"/>
  <c r="H44" i="3" s="1"/>
  <c r="G29" i="3"/>
  <c r="G44" i="3" s="1"/>
  <c r="F29" i="3"/>
  <c r="F44" i="3" s="1"/>
  <c r="E29" i="3"/>
  <c r="E44" i="3" s="1"/>
  <c r="D29" i="3"/>
  <c r="D44" i="3" s="1"/>
  <c r="Z36" i="3"/>
  <c r="Y36" i="3"/>
  <c r="X26" i="3"/>
  <c r="W26" i="3"/>
  <c r="W36" i="3" s="1"/>
  <c r="V26" i="3"/>
  <c r="V36" i="3" s="1"/>
  <c r="U26" i="3"/>
  <c r="T26" i="3"/>
  <c r="S26" i="3"/>
  <c r="S36" i="3" s="1"/>
  <c r="R26" i="3"/>
  <c r="R36" i="3" s="1"/>
  <c r="Q26" i="3"/>
  <c r="P26" i="3"/>
  <c r="O26" i="3"/>
  <c r="O36" i="3" s="1"/>
  <c r="N26" i="3"/>
  <c r="M26" i="3"/>
  <c r="M36" i="3" s="1"/>
  <c r="L26" i="3"/>
  <c r="K26" i="3"/>
  <c r="J26" i="3"/>
  <c r="J36" i="3" s="1"/>
  <c r="I26" i="3"/>
  <c r="H26" i="3"/>
  <c r="G26" i="3"/>
  <c r="G36" i="3" s="1"/>
  <c r="F26" i="3"/>
  <c r="F36" i="3" s="1"/>
  <c r="E26" i="3"/>
  <c r="D26" i="3"/>
  <c r="S45" i="2"/>
  <c r="R45" i="2"/>
  <c r="Q45" i="2"/>
  <c r="S43" i="2"/>
  <c r="R43" i="2"/>
  <c r="S42" i="2"/>
  <c r="R42" i="2"/>
  <c r="Q42" i="2"/>
  <c r="S40" i="2"/>
  <c r="R40" i="2"/>
  <c r="Q40" i="2"/>
  <c r="S39" i="2"/>
  <c r="R39" i="2"/>
  <c r="Q39" i="2"/>
  <c r="S38" i="2"/>
  <c r="R38" i="2"/>
  <c r="Q38" i="2"/>
  <c r="R35" i="2"/>
  <c r="Q35" i="2"/>
  <c r="R34" i="2"/>
  <c r="Q34" i="2"/>
  <c r="S33" i="2"/>
  <c r="R33" i="2"/>
  <c r="Q33" i="2"/>
  <c r="R32" i="2"/>
  <c r="Q32" i="2"/>
  <c r="T29" i="2"/>
  <c r="S29" i="2"/>
  <c r="R29" i="2"/>
  <c r="R44" i="2" s="1"/>
  <c r="Q29" i="2"/>
  <c r="Q44" i="2" s="1"/>
  <c r="Q36" i="2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D45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D43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D42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D40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D39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D38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D35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D34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D33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D32" i="1"/>
  <c r="E29" i="1"/>
  <c r="E44" i="1" s="1"/>
  <c r="F29" i="1"/>
  <c r="F44" i="1" s="1"/>
  <c r="G29" i="1"/>
  <c r="G44" i="1" s="1"/>
  <c r="H29" i="1"/>
  <c r="H44" i="1" s="1"/>
  <c r="I29" i="1"/>
  <c r="I44" i="1" s="1"/>
  <c r="J29" i="1"/>
  <c r="J44" i="1" s="1"/>
  <c r="K29" i="1"/>
  <c r="K44" i="1" s="1"/>
  <c r="L29" i="1"/>
  <c r="L44" i="1" s="1"/>
  <c r="M29" i="1"/>
  <c r="M44" i="1" s="1"/>
  <c r="N29" i="1"/>
  <c r="N44" i="1" s="1"/>
  <c r="O29" i="1"/>
  <c r="O44" i="1" s="1"/>
  <c r="P29" i="1"/>
  <c r="P44" i="1" s="1"/>
  <c r="Q29" i="1"/>
  <c r="Q44" i="1" s="1"/>
  <c r="R29" i="1"/>
  <c r="R44" i="1" s="1"/>
  <c r="S29" i="1"/>
  <c r="S44" i="1" s="1"/>
  <c r="T29" i="1"/>
  <c r="T44" i="1" s="1"/>
  <c r="U29" i="1"/>
  <c r="U44" i="1" s="1"/>
  <c r="V29" i="1"/>
  <c r="V44" i="1" s="1"/>
  <c r="W29" i="1"/>
  <c r="W44" i="1" s="1"/>
  <c r="X29" i="1"/>
  <c r="X44" i="1" s="1"/>
  <c r="Y29" i="1"/>
  <c r="Y44" i="1" s="1"/>
  <c r="Z29" i="1"/>
  <c r="Z44" i="1" s="1"/>
  <c r="AA29" i="1"/>
  <c r="AA44" i="1" s="1"/>
  <c r="AB29" i="1"/>
  <c r="AB44" i="1" s="1"/>
  <c r="AC29" i="1"/>
  <c r="AC44" i="1" s="1"/>
  <c r="AD29" i="1"/>
  <c r="AD44" i="1" s="1"/>
  <c r="AE29" i="1"/>
  <c r="AE44" i="1" s="1"/>
  <c r="AF29" i="1"/>
  <c r="AF44" i="1" s="1"/>
  <c r="AG29" i="1"/>
  <c r="AG44" i="1" s="1"/>
  <c r="AH29" i="1"/>
  <c r="AH44" i="1" s="1"/>
  <c r="AI29" i="1"/>
  <c r="AI44" i="1" s="1"/>
  <c r="AJ29" i="1"/>
  <c r="AJ44" i="1" s="1"/>
  <c r="AK29" i="1"/>
  <c r="AK44" i="1" s="1"/>
  <c r="AL29" i="1"/>
  <c r="AL44" i="1" s="1"/>
  <c r="AM29" i="1"/>
  <c r="AM44" i="1" s="1"/>
  <c r="AN29" i="1"/>
  <c r="AN44" i="1" s="1"/>
  <c r="D29" i="1"/>
  <c r="D44" i="1" s="1"/>
  <c r="E26" i="1"/>
  <c r="E28" i="1" s="1"/>
  <c r="F26" i="1"/>
  <c r="G26" i="1"/>
  <c r="H26" i="1"/>
  <c r="H27" i="1" s="1"/>
  <c r="I26" i="1"/>
  <c r="J26" i="1"/>
  <c r="J28" i="1" s="1"/>
  <c r="K26" i="1"/>
  <c r="K36" i="1" s="1"/>
  <c r="L26" i="1"/>
  <c r="L27" i="1" s="1"/>
  <c r="M26" i="1"/>
  <c r="M36" i="1" s="1"/>
  <c r="N26" i="1"/>
  <c r="O26" i="1"/>
  <c r="P26" i="1"/>
  <c r="P27" i="1" s="1"/>
  <c r="Q26" i="1"/>
  <c r="R26" i="1"/>
  <c r="R28" i="1" s="1"/>
  <c r="S26" i="1"/>
  <c r="S36" i="1" s="1"/>
  <c r="T26" i="1"/>
  <c r="T27" i="1" s="1"/>
  <c r="U26" i="1"/>
  <c r="U36" i="1" s="1"/>
  <c r="V26" i="1"/>
  <c r="V36" i="1" s="1"/>
  <c r="W26" i="1"/>
  <c r="X26" i="1"/>
  <c r="X28" i="1" s="1"/>
  <c r="Y26" i="1"/>
  <c r="Z26" i="1"/>
  <c r="Z28" i="1" s="1"/>
  <c r="AA26" i="1"/>
  <c r="AA36" i="1" s="1"/>
  <c r="AB26" i="1"/>
  <c r="AB28" i="1" s="1"/>
  <c r="AC26" i="1"/>
  <c r="AD26" i="1"/>
  <c r="AE26" i="1"/>
  <c r="AF26" i="1"/>
  <c r="AF28" i="1" s="1"/>
  <c r="AG26" i="1"/>
  <c r="AH26" i="1"/>
  <c r="AH28" i="1" s="1"/>
  <c r="AI26" i="1"/>
  <c r="AI36" i="1" s="1"/>
  <c r="AJ26" i="1"/>
  <c r="AJ27" i="1" s="1"/>
  <c r="AK26" i="1"/>
  <c r="AK28" i="1" s="1"/>
  <c r="AL26" i="1"/>
  <c r="AM26" i="1"/>
  <c r="AM36" i="1" s="1"/>
  <c r="AN26" i="1"/>
  <c r="AN27" i="1" s="1"/>
  <c r="D26" i="1"/>
  <c r="S44" i="2" l="1"/>
  <c r="S30" i="2"/>
  <c r="S31" i="2" s="1"/>
  <c r="AG30" i="1"/>
  <c r="AG31" i="1" s="1"/>
  <c r="Q30" i="1"/>
  <c r="Q31" i="1" s="1"/>
  <c r="U31" i="2"/>
  <c r="H27" i="3"/>
  <c r="H36" i="3"/>
  <c r="P27" i="3"/>
  <c r="P36" i="3"/>
  <c r="X36" i="3"/>
  <c r="N27" i="3"/>
  <c r="N36" i="3"/>
  <c r="I37" i="3"/>
  <c r="I36" i="3"/>
  <c r="Q37" i="3"/>
  <c r="Q36" i="3"/>
  <c r="K37" i="3"/>
  <c r="K36" i="3"/>
  <c r="D27" i="3"/>
  <c r="D36" i="3"/>
  <c r="L27" i="3"/>
  <c r="L36" i="3"/>
  <c r="T27" i="3"/>
  <c r="T36" i="3"/>
  <c r="E28" i="3"/>
  <c r="E36" i="3"/>
  <c r="U37" i="3"/>
  <c r="U36" i="3"/>
  <c r="J30" i="3"/>
  <c r="J31" i="3" s="1"/>
  <c r="Z30" i="3"/>
  <c r="Z31" i="3" s="1"/>
  <c r="AN28" i="1"/>
  <c r="M30" i="1"/>
  <c r="M31" i="1" s="1"/>
  <c r="T28" i="1"/>
  <c r="AC30" i="1"/>
  <c r="AC31" i="1" s="1"/>
  <c r="AF27" i="1"/>
  <c r="R27" i="1"/>
  <c r="AB27" i="1"/>
  <c r="Z37" i="1"/>
  <c r="X27" i="1"/>
  <c r="AJ28" i="1"/>
  <c r="P28" i="1"/>
  <c r="J37" i="1"/>
  <c r="Q28" i="1"/>
  <c r="AG28" i="1"/>
  <c r="L28" i="1"/>
  <c r="AH30" i="1"/>
  <c r="AH31" i="1" s="1"/>
  <c r="H28" i="1"/>
  <c r="AH36" i="1"/>
  <c r="R30" i="1"/>
  <c r="R31" i="1" s="1"/>
  <c r="AH27" i="1"/>
  <c r="U28" i="1"/>
  <c r="Y28" i="3"/>
  <c r="H37" i="3"/>
  <c r="M28" i="3"/>
  <c r="L37" i="3"/>
  <c r="U27" i="3"/>
  <c r="N30" i="3"/>
  <c r="N31" i="3" s="1"/>
  <c r="N28" i="3"/>
  <c r="E27" i="3"/>
  <c r="D28" i="3"/>
  <c r="T28" i="3"/>
  <c r="M37" i="3"/>
  <c r="X30" i="3"/>
  <c r="X31" i="3" s="1"/>
  <c r="M27" i="3"/>
  <c r="U28" i="3"/>
  <c r="AE36" i="1"/>
  <c r="AE37" i="1"/>
  <c r="W36" i="1"/>
  <c r="W37" i="1"/>
  <c r="O36" i="1"/>
  <c r="O37" i="1"/>
  <c r="G36" i="1"/>
  <c r="G37" i="1"/>
  <c r="AM27" i="1"/>
  <c r="W27" i="1"/>
  <c r="G27" i="1"/>
  <c r="AM28" i="1"/>
  <c r="W28" i="1"/>
  <c r="G28" i="1"/>
  <c r="AM30" i="1"/>
  <c r="AM31" i="1" s="1"/>
  <c r="W30" i="1"/>
  <c r="W31" i="1" s="1"/>
  <c r="G30" i="1"/>
  <c r="G31" i="1" s="1"/>
  <c r="AM37" i="1"/>
  <c r="G30" i="3"/>
  <c r="G31" i="3" s="1"/>
  <c r="G27" i="3"/>
  <c r="G37" i="3"/>
  <c r="O27" i="3"/>
  <c r="O30" i="3"/>
  <c r="O31" i="3" s="1"/>
  <c r="S37" i="3"/>
  <c r="S30" i="3"/>
  <c r="S31" i="3" s="1"/>
  <c r="W27" i="3"/>
  <c r="W30" i="3"/>
  <c r="W31" i="3" s="1"/>
  <c r="W37" i="3"/>
  <c r="AL37" i="1"/>
  <c r="AL28" i="1"/>
  <c r="AD37" i="1"/>
  <c r="AD28" i="1"/>
  <c r="V37" i="1"/>
  <c r="V28" i="1"/>
  <c r="N37" i="1"/>
  <c r="N28" i="1"/>
  <c r="F37" i="1"/>
  <c r="F28" i="1"/>
  <c r="AL27" i="1"/>
  <c r="AA27" i="1"/>
  <c r="V27" i="1"/>
  <c r="K27" i="1"/>
  <c r="F27" i="1"/>
  <c r="AA28" i="1"/>
  <c r="K28" i="1"/>
  <c r="AL30" i="1"/>
  <c r="AL31" i="1" s="1"/>
  <c r="AA30" i="1"/>
  <c r="AA31" i="1" s="1"/>
  <c r="V30" i="1"/>
  <c r="V31" i="1" s="1"/>
  <c r="K30" i="1"/>
  <c r="K31" i="1" s="1"/>
  <c r="F30" i="1"/>
  <c r="F31" i="1" s="1"/>
  <c r="AD36" i="1"/>
  <c r="J36" i="1"/>
  <c r="AI37" i="1"/>
  <c r="S37" i="1"/>
  <c r="S27" i="3"/>
  <c r="D37" i="1"/>
  <c r="D36" i="1"/>
  <c r="D27" i="1"/>
  <c r="AK37" i="1"/>
  <c r="AK27" i="1"/>
  <c r="AG37" i="1"/>
  <c r="AG36" i="1"/>
  <c r="AG27" i="1"/>
  <c r="AC37" i="1"/>
  <c r="AC27" i="1"/>
  <c r="Y37" i="1"/>
  <c r="Y36" i="1"/>
  <c r="Y27" i="1"/>
  <c r="U37" i="1"/>
  <c r="U27" i="1"/>
  <c r="Q37" i="1"/>
  <c r="Q36" i="1"/>
  <c r="Q27" i="1"/>
  <c r="M37" i="1"/>
  <c r="M27" i="1"/>
  <c r="I37" i="1"/>
  <c r="I36" i="1"/>
  <c r="I27" i="1"/>
  <c r="E37" i="1"/>
  <c r="E27" i="1"/>
  <c r="AE27" i="1"/>
  <c r="Z27" i="1"/>
  <c r="O27" i="1"/>
  <c r="J27" i="1"/>
  <c r="D28" i="1"/>
  <c r="AE28" i="1"/>
  <c r="Y28" i="1"/>
  <c r="O28" i="1"/>
  <c r="I28" i="1"/>
  <c r="AK30" i="1"/>
  <c r="AK31" i="1" s="1"/>
  <c r="AE30" i="1"/>
  <c r="AE31" i="1" s="1"/>
  <c r="Z30" i="1"/>
  <c r="Z31" i="1" s="1"/>
  <c r="U30" i="1"/>
  <c r="U31" i="1" s="1"/>
  <c r="O30" i="1"/>
  <c r="O31" i="1" s="1"/>
  <c r="J30" i="1"/>
  <c r="J31" i="1" s="1"/>
  <c r="E30" i="1"/>
  <c r="E31" i="1" s="1"/>
  <c r="AL36" i="1"/>
  <c r="AC36" i="1"/>
  <c r="R36" i="1"/>
  <c r="F36" i="1"/>
  <c r="AH37" i="1"/>
  <c r="R37" i="1"/>
  <c r="AI27" i="1"/>
  <c r="AD27" i="1"/>
  <c r="S27" i="1"/>
  <c r="N27" i="1"/>
  <c r="AI28" i="1"/>
  <c r="AC28" i="1"/>
  <c r="S28" i="1"/>
  <c r="M28" i="1"/>
  <c r="D30" i="1"/>
  <c r="D31" i="1" s="1"/>
  <c r="AI30" i="1"/>
  <c r="AI31" i="1" s="1"/>
  <c r="AD30" i="1"/>
  <c r="AD31" i="1" s="1"/>
  <c r="Y30" i="1"/>
  <c r="Y31" i="1" s="1"/>
  <c r="S30" i="1"/>
  <c r="S31" i="1" s="1"/>
  <c r="N30" i="1"/>
  <c r="N31" i="1" s="1"/>
  <c r="I30" i="1"/>
  <c r="I31" i="1" s="1"/>
  <c r="AK36" i="1"/>
  <c r="Z36" i="1"/>
  <c r="N36" i="1"/>
  <c r="E36" i="1"/>
  <c r="AA37" i="1"/>
  <c r="K37" i="1"/>
  <c r="D30" i="3"/>
  <c r="D31" i="3" s="1"/>
  <c r="AN37" i="1"/>
  <c r="AN36" i="1"/>
  <c r="AJ37" i="1"/>
  <c r="AJ36" i="1"/>
  <c r="AF37" i="1"/>
  <c r="AF36" i="1"/>
  <c r="AB37" i="1"/>
  <c r="AB36" i="1"/>
  <c r="X37" i="1"/>
  <c r="X36" i="1"/>
  <c r="T37" i="1"/>
  <c r="T36" i="1"/>
  <c r="P37" i="1"/>
  <c r="P36" i="1"/>
  <c r="L37" i="1"/>
  <c r="L36" i="1"/>
  <c r="H37" i="1"/>
  <c r="H36" i="1"/>
  <c r="AN30" i="1"/>
  <c r="AN31" i="1" s="1"/>
  <c r="AJ30" i="1"/>
  <c r="AJ31" i="1" s="1"/>
  <c r="AF30" i="1"/>
  <c r="AF31" i="1" s="1"/>
  <c r="AB30" i="1"/>
  <c r="AB31" i="1" s="1"/>
  <c r="X30" i="1"/>
  <c r="X31" i="1" s="1"/>
  <c r="T30" i="1"/>
  <c r="T31" i="1" s="1"/>
  <c r="P30" i="1"/>
  <c r="P31" i="1" s="1"/>
  <c r="L30" i="1"/>
  <c r="L31" i="1" s="1"/>
  <c r="H30" i="1"/>
  <c r="H31" i="1" s="1"/>
  <c r="T31" i="2"/>
  <c r="P28" i="3"/>
  <c r="E30" i="3"/>
  <c r="E31" i="3" s="1"/>
  <c r="I30" i="3"/>
  <c r="I31" i="3" s="1"/>
  <c r="M30" i="3"/>
  <c r="M31" i="3" s="1"/>
  <c r="Q30" i="3"/>
  <c r="Q31" i="3" s="1"/>
  <c r="U30" i="3"/>
  <c r="U31" i="3" s="1"/>
  <c r="Y30" i="3"/>
  <c r="Y31" i="3" s="1"/>
  <c r="I27" i="3"/>
  <c r="Q27" i="3"/>
  <c r="I28" i="3"/>
  <c r="Q28" i="3"/>
  <c r="H30" i="3"/>
  <c r="H31" i="3" s="1"/>
  <c r="T30" i="3"/>
  <c r="T31" i="3" s="1"/>
  <c r="E37" i="3"/>
  <c r="F37" i="3"/>
  <c r="N37" i="3"/>
  <c r="V37" i="3"/>
  <c r="J28" i="3"/>
  <c r="J37" i="3"/>
  <c r="R37" i="3"/>
  <c r="J27" i="3"/>
  <c r="Z28" i="3"/>
  <c r="G28" i="3"/>
  <c r="K28" i="3"/>
  <c r="O28" i="3"/>
  <c r="S28" i="3"/>
  <c r="W28" i="3"/>
  <c r="F27" i="3"/>
  <c r="K27" i="3"/>
  <c r="V27" i="3"/>
  <c r="F28" i="3"/>
  <c r="L28" i="3"/>
  <c r="V28" i="3"/>
  <c r="F30" i="3"/>
  <c r="F31" i="3" s="1"/>
  <c r="K30" i="3"/>
  <c r="K31" i="3" s="1"/>
  <c r="P30" i="3"/>
  <c r="P31" i="3" s="1"/>
  <c r="V30" i="3"/>
  <c r="V31" i="3" s="1"/>
  <c r="AA30" i="3"/>
  <c r="AA31" i="3" s="1"/>
  <c r="D37" i="3"/>
  <c r="O37" i="3"/>
  <c r="T37" i="3"/>
  <c r="R27" i="3"/>
  <c r="H28" i="3"/>
  <c r="R28" i="3"/>
  <c r="X28" i="3"/>
  <c r="L30" i="3"/>
  <c r="L31" i="3" s="1"/>
  <c r="R30" i="3"/>
  <c r="R31" i="3" s="1"/>
  <c r="P37" i="3"/>
  <c r="Q31" i="2"/>
  <c r="R3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tc={B8FFCDBE-AF0D-49ED-9EE9-DFDD6CCD882B}</author>
  </authors>
  <commentList>
    <comment ref="I20" authorId="0" shapeId="0" xr:uid="{B8FFCDBE-AF0D-49ED-9EE9-DFDD6CCD882B}">
      <text>
        <t>[Comentário por tópicos]
A sua versão do Excel permite-lhe ler este comentário por tópicos. No entanto, as edições feitas ao comentário serão removidas se o ficheiro for aberto numa versão mais recente do Excel. Saiba mais: https://go.microsoft.com/fwlink/?linkid=870924
Comentário:
    Resultado discrepante devido às contas: Empresas participadas 1027,882 e Depósitos bancários e caixa 404.283 
*Em milhares de escudos</t>
      </text>
    </comment>
  </commentList>
</comments>
</file>

<file path=xl/sharedStrings.xml><?xml version="1.0" encoding="utf-8"?>
<sst xmlns="http://schemas.openxmlformats.org/spreadsheetml/2006/main" count="3659" uniqueCount="146">
  <si>
    <t>18*</t>
  </si>
  <si>
    <t>19*</t>
  </si>
  <si>
    <t>20*</t>
  </si>
  <si>
    <t>21*</t>
  </si>
  <si>
    <t>Cotação</t>
  </si>
  <si>
    <t>Gráfico</t>
  </si>
  <si>
    <t>Nº de Ações</t>
  </si>
  <si>
    <t>DR</t>
  </si>
  <si>
    <t>R e C</t>
  </si>
  <si>
    <t>EBITDA</t>
  </si>
  <si>
    <t>EBIT</t>
  </si>
  <si>
    <t>Res. Financeiro</t>
  </si>
  <si>
    <t>RAI</t>
  </si>
  <si>
    <t>Imp. s/Lucros</t>
  </si>
  <si>
    <t>Balanço</t>
  </si>
  <si>
    <t>Dividendo p/Ação</t>
  </si>
  <si>
    <t>Caixa e Equivalentes</t>
  </si>
  <si>
    <t>Dívida Financeira</t>
  </si>
  <si>
    <t>Ações Preferenciais</t>
  </si>
  <si>
    <t>Passivo</t>
  </si>
  <si>
    <t>Capital Próprio</t>
  </si>
  <si>
    <t>Passivo Corrente</t>
  </si>
  <si>
    <t>Ativo Corrente</t>
  </si>
  <si>
    <t>N.º</t>
  </si>
  <si>
    <t>Variável</t>
  </si>
  <si>
    <t>Origem</t>
  </si>
  <si>
    <t>Métrica de AF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</si>
  <si>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</si>
  <si>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</si>
  <si>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</si>
  <si>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</si>
  <si>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</si>
  <si>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</si>
  <si>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</si>
  <si>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</si>
  <si>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</si>
  <si>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</si>
  <si>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</si>
  <si>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</si>
  <si>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</si>
  <si>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</si>
  <si>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</si>
  <si>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</si>
  <si>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</si>
  <si>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</si>
  <si>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</si>
  <si>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Valor de Mercado</t>
  </si>
  <si>
    <t>Múltiplo das Vendas</t>
  </si>
  <si>
    <t>Múltiplo do EBITDA</t>
  </si>
  <si>
    <t>Dívida Líquida</t>
  </si>
  <si>
    <t>Enterprise Value</t>
  </si>
  <si>
    <t>EV / EBITDA</t>
  </si>
  <si>
    <t>Margem EBITDA</t>
  </si>
  <si>
    <t>Margem EBIT</t>
  </si>
  <si>
    <t>Tx. Imp. sob. Lucros</t>
  </si>
  <si>
    <t>Margem Líquida</t>
  </si>
  <si>
    <t>PER</t>
  </si>
  <si>
    <t>PBV</t>
  </si>
  <si>
    <t>ROE Operacional</t>
  </si>
  <si>
    <t>ROE</t>
  </si>
  <si>
    <t>Liquidez Reduzida</t>
  </si>
  <si>
    <t>Fundo de Maneio</t>
  </si>
  <si>
    <t>Liquidez Imediata</t>
  </si>
  <si>
    <t>Net Debt to EBITDA</t>
  </si>
  <si>
    <t>Debt to Equity</t>
  </si>
  <si>
    <t>1 * 3</t>
  </si>
  <si>
    <t>A / 4</t>
  </si>
  <si>
    <t>A / 5</t>
  </si>
  <si>
    <t xml:space="preserve"> 7 - 8</t>
  </si>
  <si>
    <t>A+D+9+10</t>
  </si>
  <si>
    <t>E / 5</t>
  </si>
  <si>
    <t>Fórmula</t>
  </si>
  <si>
    <t>5 / 4</t>
  </si>
  <si>
    <t>6 / 4</t>
  </si>
  <si>
    <t>13 / 12</t>
  </si>
  <si>
    <t>14 / 4</t>
  </si>
  <si>
    <t>A / 14</t>
  </si>
  <si>
    <t>A / 16</t>
  </si>
  <si>
    <t>6 / 16</t>
  </si>
  <si>
    <t>14 / 16</t>
  </si>
  <si>
    <t>17 - 18</t>
  </si>
  <si>
    <t>(17-19)/18</t>
  </si>
  <si>
    <t>8 / 18</t>
  </si>
  <si>
    <t>D / 5</t>
  </si>
  <si>
    <t>15 / 16</t>
  </si>
  <si>
    <t>Valor de Mercado (M€)</t>
  </si>
  <si>
    <t>Nº de Ações (milhões)</t>
  </si>
  <si>
    <t>Clientes</t>
  </si>
  <si>
    <t>Inventários</t>
  </si>
  <si>
    <t>*</t>
  </si>
  <si>
    <t>Estimativas em 20/dez/2018 ou dados 3º trimestre 2018</t>
  </si>
  <si>
    <t>Estimativas em 19/dez/2018 ou dados 3º trimestre 2018</t>
  </si>
  <si>
    <t>Interesses sem Controlo</t>
  </si>
  <si>
    <t>Dívida Remunerada</t>
  </si>
  <si>
    <t>22*</t>
  </si>
  <si>
    <t>Divivend Yield</t>
  </si>
  <si>
    <t>17/18</t>
  </si>
  <si>
    <t>2 / 1</t>
  </si>
  <si>
    <t>Liquidez Geral</t>
  </si>
  <si>
    <t>T</t>
  </si>
  <si>
    <t>U</t>
  </si>
  <si>
    <t>-</t>
  </si>
  <si>
    <t>No Data</t>
  </si>
  <si>
    <t>Na Data</t>
  </si>
  <si>
    <t>Vendas (M€)</t>
  </si>
  <si>
    <t>Resultado Líquido (M€)</t>
  </si>
  <si>
    <t>ROE Operacional (%)</t>
  </si>
  <si>
    <t>ROE (%)</t>
  </si>
  <si>
    <t>Margem Líquida (%)</t>
  </si>
  <si>
    <t>Margem EBITDA (%)</t>
  </si>
  <si>
    <t>Margem EBIT (%)</t>
  </si>
  <si>
    <t>Dividend Yield</t>
  </si>
  <si>
    <t>Vendas Anuais Jerónimo Martins (M€)</t>
  </si>
  <si>
    <t>Resultado Líquido JMT (M€)</t>
  </si>
  <si>
    <t>Resultado Líquido Ramada (M€)</t>
  </si>
  <si>
    <t>EBITDA Navigator</t>
  </si>
  <si>
    <t>23*</t>
  </si>
  <si>
    <t>24*</t>
  </si>
  <si>
    <t>25*</t>
  </si>
  <si>
    <t>Depósitos</t>
  </si>
  <si>
    <t>Empréstimos</t>
  </si>
  <si>
    <t>Resultado Líquido s/ Extr. (M€)</t>
  </si>
  <si>
    <t>Vendas (m€)</t>
  </si>
  <si>
    <t>Resultado Líquido (m€)</t>
  </si>
  <si>
    <t>Passivo (m€)</t>
  </si>
  <si>
    <t>Capital Próprio (m€)</t>
  </si>
  <si>
    <t>Empresa</t>
  </si>
  <si>
    <t>PSR</t>
  </si>
  <si>
    <t>EV/EBITDA</t>
  </si>
  <si>
    <t>McDonald's</t>
  </si>
  <si>
    <t>Chipotle</t>
  </si>
  <si>
    <t>Yum! Brands</t>
  </si>
  <si>
    <t>Yum! China</t>
  </si>
  <si>
    <t>Restaurant Brands International</t>
  </si>
  <si>
    <t>Domino's Pizza</t>
  </si>
  <si>
    <t>Wendy's</t>
  </si>
  <si>
    <t>Wingstop</t>
  </si>
  <si>
    <t>Jiumaojiu</t>
  </si>
  <si>
    <t>Shake Shack</t>
  </si>
  <si>
    <t>Market Cap ($B)</t>
  </si>
  <si>
    <t>EV ($B)</t>
  </si>
  <si>
    <t>Receita anual ($B)</t>
  </si>
  <si>
    <t>EBITDA anual ($B)</t>
  </si>
  <si>
    <t>Média</t>
  </si>
  <si>
    <t>Vendas Martifer (M€)</t>
  </si>
  <si>
    <t>Valor de Mercado Martifer (M€)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</si>
</sst>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_€_-;\-* #,##0.00\ _€_-;_-* &quot;-&quot;??\ _€_-;_-@_-"/>
    <numFmt numFmtId="165" formatCode="#,##0.000"/>
    <numFmt numFmtId="166" formatCode="0.0"/>
    <numFmt numFmtId="167" formatCode="0.0%"/>
    <numFmt numFmtId="168" formatCode="#,##0.0"/>
    <numFmt numFmtId="169" formatCode="#,##0_ ;\-#,##0\ "/>
    <numFmt numFmtId="170" formatCode="#,##0.0000"/>
    <numFmt numFmtId="171" formatCode="#,##0.00000"/>
    <numFmt numFmtId="172" formatCode="0.000"/>
    <numFmt numFmtId="173" formatCode="0.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1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3" fontId="0" fillId="0" borderId="1" xfId="0" applyNumberFormat="1" applyBorder="1"/>
    <xf numFmtId="0" fontId="1" fillId="2" borderId="1" xfId="0" applyFont="1" applyFill="1" applyBorder="1"/>
    <xf numFmtId="0" fontId="1" fillId="3" borderId="1" xfId="0" applyFont="1" applyFill="1" applyBorder="1"/>
    <xf numFmtId="0" fontId="0" fillId="5" borderId="1" xfId="0" applyFill="1" applyBorder="1"/>
    <xf numFmtId="3" fontId="0" fillId="5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0" xfId="0" applyFont="1"/>
    <xf numFmtId="0" fontId="0" fillId="2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16" fontId="0" fillId="0" borderId="1" xfId="0" applyNumberFormat="1" applyBorder="1"/>
    <xf numFmtId="49" fontId="0" fillId="0" borderId="1" xfId="0" applyNumberFormat="1" applyBorder="1"/>
    <xf numFmtId="0" fontId="0" fillId="5" borderId="1" xfId="0" applyFill="1" applyBorder="1" applyAlignment="1">
      <alignment horizontal="center"/>
    </xf>
    <xf numFmtId="49" fontId="0" fillId="5" borderId="1" xfId="0" applyNumberFormat="1" applyFill="1" applyBorder="1"/>
    <xf numFmtId="4" fontId="0" fillId="5" borderId="1" xfId="0" applyNumberFormat="1" applyFill="1" applyBorder="1"/>
    <xf numFmtId="2" fontId="0" fillId="0" borderId="1" xfId="0" applyNumberFormat="1" applyBorder="1"/>
    <xf numFmtId="2" fontId="0" fillId="5" borderId="1" xfId="0" applyNumberFormat="1" applyFill="1" applyBorder="1"/>
    <xf numFmtId="165" fontId="0" fillId="0" borderId="1" xfId="0" applyNumberFormat="1" applyBorder="1"/>
    <xf numFmtId="0" fontId="0" fillId="0" borderId="0" xfId="0" applyAlignment="1">
      <alignment horizontal="center"/>
    </xf>
    <xf numFmtId="166" fontId="0" fillId="0" borderId="0" xfId="0" applyNumberFormat="1"/>
    <xf numFmtId="1" fontId="0" fillId="0" borderId="0" xfId="0" applyNumberFormat="1"/>
    <xf numFmtId="0" fontId="0" fillId="5" borderId="0" xfId="0" applyFill="1" applyBorder="1"/>
    <xf numFmtId="167" fontId="0" fillId="5" borderId="1" xfId="0" applyNumberFormat="1" applyFill="1" applyBorder="1"/>
    <xf numFmtId="167" fontId="0" fillId="0" borderId="1" xfId="0" applyNumberFormat="1" applyBorder="1"/>
    <xf numFmtId="166" fontId="0" fillId="5" borderId="1" xfId="0" applyNumberFormat="1" applyFill="1" applyBorder="1"/>
    <xf numFmtId="166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1" fontId="0" fillId="0" borderId="1" xfId="0" applyNumberFormat="1" applyBorder="1"/>
    <xf numFmtId="1" fontId="0" fillId="5" borderId="1" xfId="0" applyNumberFormat="1" applyFill="1" applyBorder="1"/>
    <xf numFmtId="3" fontId="0" fillId="0" borderId="4" xfId="0" applyNumberFormat="1" applyFill="1" applyBorder="1"/>
    <xf numFmtId="4" fontId="0" fillId="0" borderId="1" xfId="0" applyNumberFormat="1" applyBorder="1"/>
    <xf numFmtId="168" fontId="0" fillId="5" borderId="1" xfId="0" applyNumberFormat="1" applyFill="1" applyBorder="1"/>
    <xf numFmtId="3" fontId="0" fillId="5" borderId="4" xfId="0" applyNumberFormat="1" applyFill="1" applyBorder="1"/>
    <xf numFmtId="169" fontId="0" fillId="5" borderId="1" xfId="1" applyNumberFormat="1" applyFont="1" applyFill="1" applyBorder="1" applyAlignment="1">
      <alignment horizontal="right"/>
    </xf>
    <xf numFmtId="4" fontId="0" fillId="0" borderId="0" xfId="0" applyNumberFormat="1"/>
    <xf numFmtId="3" fontId="0" fillId="7" borderId="1" xfId="0" applyNumberFormat="1" applyFill="1" applyBorder="1"/>
    <xf numFmtId="170" fontId="0" fillId="0" borderId="1" xfId="0" applyNumberFormat="1" applyBorder="1"/>
    <xf numFmtId="171" fontId="0" fillId="0" borderId="1" xfId="0" applyNumberFormat="1" applyBorder="1"/>
    <xf numFmtId="165" fontId="0" fillId="5" borderId="1" xfId="0" applyNumberFormat="1" applyFill="1" applyBorder="1"/>
    <xf numFmtId="3" fontId="3" fillId="7" borderId="1" xfId="0" applyNumberFormat="1" applyFont="1" applyFill="1" applyBorder="1"/>
    <xf numFmtId="3" fontId="3" fillId="0" borderId="1" xfId="0" applyNumberFormat="1" applyFont="1" applyBorder="1"/>
    <xf numFmtId="3" fontId="3" fillId="5" borderId="1" xfId="0" applyNumberFormat="1" applyFont="1" applyFill="1" applyBorder="1"/>
    <xf numFmtId="172" fontId="0" fillId="0" borderId="1" xfId="0" applyNumberFormat="1" applyBorder="1"/>
    <xf numFmtId="164" fontId="0" fillId="0" borderId="1" xfId="1" applyNumberFormat="1" applyFont="1" applyBorder="1" applyAlignment="1"/>
    <xf numFmtId="0" fontId="0" fillId="0" borderId="1" xfId="0" applyBorder="1" applyAlignment="1">
      <alignment horizontal="center"/>
    </xf>
    <xf numFmtId="168" fontId="0" fillId="0" borderId="1" xfId="0" applyNumberFormat="1" applyBorder="1"/>
    <xf numFmtId="3" fontId="1" fillId="5" borderId="1" xfId="0" applyNumberFormat="1" applyFont="1" applyFill="1" applyBorder="1"/>
    <xf numFmtId="0" fontId="0" fillId="0" borderId="4" xfId="0" applyFill="1" applyBorder="1"/>
    <xf numFmtId="49" fontId="0" fillId="0" borderId="4" xfId="0" applyNumberFormat="1" applyFill="1" applyBorder="1"/>
    <xf numFmtId="0" fontId="0" fillId="0" borderId="1" xfId="0" applyFill="1" applyBorder="1" applyAlignment="1">
      <alignment horizontal="center"/>
    </xf>
    <xf numFmtId="9" fontId="0" fillId="5" borderId="1" xfId="0" applyNumberFormat="1" applyFill="1" applyBorder="1"/>
    <xf numFmtId="9" fontId="0" fillId="0" borderId="1" xfId="0" applyNumberFormat="1" applyBorder="1"/>
    <xf numFmtId="166" fontId="0" fillId="0" borderId="4" xfId="0" applyNumberFormat="1" applyFill="1" applyBorder="1"/>
    <xf numFmtId="0" fontId="1" fillId="0" borderId="1" xfId="0" applyFont="1" applyBorder="1" applyAlignment="1">
      <alignment horizontal="center" vertical="top"/>
    </xf>
    <xf numFmtId="164" fontId="0" fillId="0" borderId="0" xfId="1" applyFont="1"/>
    <xf numFmtId="164" fontId="0" fillId="0" borderId="0" xfId="0" applyNumberFormat="1"/>
    <xf numFmtId="3" fontId="0" fillId="0" borderId="0" xfId="0" applyNumberFormat="1"/>
    <xf numFmtId="3" fontId="0" fillId="0" borderId="1" xfId="0" applyNumberFormat="1" applyFill="1" applyBorder="1"/>
    <xf numFmtId="3" fontId="0" fillId="0" borderId="1" xfId="0" applyNumberFormat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172" fontId="0" fillId="5" borderId="1" xfId="0" applyNumberFormat="1" applyFill="1" applyBorder="1"/>
    <xf numFmtId="3" fontId="0" fillId="0" borderId="1" xfId="0" applyNumberFormat="1" applyBorder="1" applyAlignment="1">
      <alignment horizontal="right"/>
    </xf>
    <xf numFmtId="3" fontId="0" fillId="5" borderId="1" xfId="0" applyNumberFormat="1" applyFill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0" fillId="0" borderId="0" xfId="0" applyFill="1"/>
    <xf numFmtId="0" fontId="0" fillId="0" borderId="5" xfId="0" applyBorder="1" applyAlignment="1"/>
    <xf numFmtId="3" fontId="0" fillId="5" borderId="1" xfId="0" applyNumberFormat="1" applyFont="1" applyFill="1" applyBorder="1"/>
    <xf numFmtId="167" fontId="0" fillId="5" borderId="1" xfId="2" applyNumberFormat="1" applyFont="1" applyFill="1" applyBorder="1"/>
    <xf numFmtId="167" fontId="0" fillId="0" borderId="1" xfId="2" applyNumberFormat="1" applyFont="1" applyBorder="1"/>
    <xf numFmtId="3" fontId="0" fillId="0" borderId="0" xfId="1" applyNumberFormat="1" applyFont="1" applyFill="1"/>
    <xf numFmtId="0" fontId="0" fillId="5" borderId="1" xfId="0" applyFill="1" applyBorder="1" applyAlignment="1">
      <alignment horizontal="left"/>
    </xf>
    <xf numFmtId="0" fontId="1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right"/>
    </xf>
    <xf numFmtId="2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1" fillId="0" borderId="6" xfId="0" applyFont="1" applyBorder="1" applyAlignment="1">
      <alignment horizontal="center"/>
    </xf>
    <xf numFmtId="4" fontId="0" fillId="5" borderId="6" xfId="0" applyNumberFormat="1" applyFill="1" applyBorder="1"/>
    <xf numFmtId="3" fontId="0" fillId="0" borderId="6" xfId="0" applyNumberFormat="1" applyBorder="1"/>
    <xf numFmtId="3" fontId="0" fillId="5" borderId="6" xfId="0" applyNumberFormat="1" applyFill="1" applyBorder="1"/>
    <xf numFmtId="4" fontId="0" fillId="0" borderId="6" xfId="0" applyNumberFormat="1" applyBorder="1"/>
    <xf numFmtId="168" fontId="0" fillId="5" borderId="6" xfId="0" applyNumberFormat="1" applyFill="1" applyBorder="1"/>
    <xf numFmtId="2" fontId="0" fillId="5" borderId="1" xfId="0" applyNumberFormat="1" applyFill="1" applyBorder="1" applyAlignment="1">
      <alignment horizontal="right"/>
    </xf>
    <xf numFmtId="0" fontId="1" fillId="0" borderId="0" xfId="0" applyFont="1" applyFill="1" applyBorder="1" applyAlignment="1">
      <alignment horizontal="center"/>
    </xf>
    <xf numFmtId="3" fontId="0" fillId="0" borderId="1" xfId="0" applyNumberFormat="1" applyFill="1" applyBorder="1" applyAlignment="1">
      <alignment horizontal="right"/>
    </xf>
    <xf numFmtId="165" fontId="0" fillId="0" borderId="1" xfId="0" applyNumberFormat="1" applyFill="1" applyBorder="1" applyAlignment="1">
      <alignment horizontal="right"/>
    </xf>
    <xf numFmtId="3" fontId="0" fillId="0" borderId="1" xfId="0" quotePrefix="1" applyNumberFormat="1" applyBorder="1" applyAlignment="1">
      <alignment horizontal="right"/>
    </xf>
    <xf numFmtId="172" fontId="0" fillId="0" borderId="1" xfId="0" applyNumberFormat="1" applyBorder="1" applyAlignment="1">
      <alignment horizontal="right"/>
    </xf>
    <xf numFmtId="4" fontId="0" fillId="0" borderId="1" xfId="0" applyNumberFormat="1" applyFill="1" applyBorder="1"/>
    <xf numFmtId="0" fontId="1" fillId="0" borderId="1" xfId="0" applyFont="1" applyFill="1" applyBorder="1" applyAlignment="1">
      <alignment horizontal="center"/>
    </xf>
    <xf numFmtId="173" fontId="0" fillId="5" borderId="1" xfId="0" applyNumberFormat="1" applyFill="1" applyBorder="1"/>
    <xf numFmtId="173" fontId="0" fillId="0" borderId="1" xfId="0" applyNumberFormat="1" applyBorder="1"/>
    <xf numFmtId="166" fontId="1" fillId="0" borderId="1" xfId="0" applyNumberFormat="1" applyFont="1" applyBorder="1"/>
    <xf numFmtId="0" fontId="1" fillId="6" borderId="1" xfId="0" applyFont="1" applyFill="1" applyBorder="1" applyAlignment="1">
      <alignment horizontal="center"/>
    </xf>
    <xf numFmtId="0" fontId="1" fillId="4" borderId="2" xfId="0" applyFont="1" applyFill="1" applyBorder="1" applyAlignment="1"/>
    <xf numFmtId="0" fontId="1" fillId="4" borderId="3" xfId="0" applyFont="1" applyFill="1" applyBorder="1" applyAlignment="1"/>
    <xf numFmtId="0" fontId="0" fillId="0" borderId="5" xfId="0" applyBorder="1" applyAlignment="1">
      <alignment horizontal="center"/>
    </xf>
    <xf numFmtId="0" fontId="1" fillId="4" borderId="2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Border="1" applyAlignment="1"/>
    <xf numFmtId="0" fontId="1" fillId="6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</cellXfs>
  <cellStyles count="3">
    <cellStyle name="Normal" xfId="0" builtinId="0"/>
    <cellStyle name="Percentagem" xfId="2" builtinId="5"/>
    <cellStyle name="Vírgula" xfId="1" builtinId="3"/>
  </cellStyles>
  <dxfs count="0"/>
  <tableStyles count="0" defaultTableStyle="TableStyleMedium2" defaultPivotStyle="PivotStyleLight16"/>
  <colors>
    <mruColors>
      <color rgb="FF00FF00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8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9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0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1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2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3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4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5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6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7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8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9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0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1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4.xml"/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5.xml"/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6.xml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7.xml"/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8.xml"/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9.xml"/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0.xml"/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1.xml"/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2.xml"/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3.xml"/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4.xml"/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5.xml"/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6.xml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7.xml"/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8.xml"/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9.xml"/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0.xml"/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1.xml"/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2.xml"/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3.xml"/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4.xml"/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5.xml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6.xml"/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7.xml"/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8.xml"/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9.xml"/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0.xml"/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1.xml"/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2.xml"/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3.xml"/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4.xml"/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5.xml"/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6.xml"/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7.xml"/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8.xml"/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9.xml"/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0.xml"/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1.xml"/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2.xml"/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3.xml"/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4.xml"/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5.xml"/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6.xml"/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7.xml"/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8.xml"/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9.xml"/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0.xml"/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1.xml"/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2.xml"/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3.xml"/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4.xml"/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5.xml"/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6.xml"/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7.xml"/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Altri!$C$26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8518518518518435E-3"/>
                  <c:y val="1.9201228878648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5-4455-B9D4-66E14CD40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Altri!$D$26:$T$26</c:f>
              <c:numCache>
                <c:formatCode>#,##0</c:formatCode>
                <c:ptCount val="17"/>
                <c:pt idx="0">
                  <c:v>132.23999999999998</c:v>
                </c:pt>
                <c:pt idx="1">
                  <c:v>352.64</c:v>
                </c:pt>
                <c:pt idx="2">
                  <c:v>464</c:v>
                </c:pt>
                <c:pt idx="3">
                  <c:v>216.3</c:v>
                </c:pt>
                <c:pt idx="4">
                  <c:v>412</c:v>
                </c:pt>
                <c:pt idx="5">
                  <c:v>348.66999999999996</c:v>
                </c:pt>
                <c:pt idx="6">
                  <c:v>246.11999999999998</c:v>
                </c:pt>
                <c:pt idx="7">
                  <c:v>326.10899999999998</c:v>
                </c:pt>
                <c:pt idx="8">
                  <c:v>459.49120000000005</c:v>
                </c:pt>
                <c:pt idx="9">
                  <c:v>508.72239999999999</c:v>
                </c:pt>
                <c:pt idx="10">
                  <c:v>978.47009999999989</c:v>
                </c:pt>
                <c:pt idx="11">
                  <c:v>791.80179999999996</c:v>
                </c:pt>
                <c:pt idx="12">
                  <c:v>1060.5220999999999</c:v>
                </c:pt>
                <c:pt idx="13">
                  <c:v>1189.4059999999999</c:v>
                </c:pt>
                <c:pt idx="14">
                  <c:v>1164.5703999999998</c:v>
                </c:pt>
                <c:pt idx="15">
                  <c:v>1058.1612</c:v>
                </c:pt>
                <c:pt idx="16">
                  <c:v>1150.78867992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Altri!$C$5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092592592592595E-2"/>
                  <c:y val="-3.8402457757296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70-4B8E-B3A6-767AC56412CF}"/>
                </c:ext>
              </c:extLst>
            </c:dLbl>
            <c:dLbl>
              <c:idx val="1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70-4B8E-B3A6-767AC5641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Altri!$D$3:$T$3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cat>
          <c:val>
            <c:numRef>
              <c:f>Altri!$D$5:$T$5</c:f>
              <c:numCache>
                <c:formatCode>#,##0</c:formatCode>
                <c:ptCount val="17"/>
                <c:pt idx="0">
                  <c:v>232</c:v>
                </c:pt>
                <c:pt idx="1">
                  <c:v>232</c:v>
                </c:pt>
                <c:pt idx="2">
                  <c:v>232</c:v>
                </c:pt>
                <c:pt idx="3">
                  <c:v>206</c:v>
                </c:pt>
                <c:pt idx="4">
                  <c:v>206</c:v>
                </c:pt>
                <c:pt idx="5">
                  <c:v>205.1</c:v>
                </c:pt>
                <c:pt idx="6">
                  <c:v>205.1</c:v>
                </c:pt>
                <c:pt idx="7">
                  <c:v>205.1</c:v>
                </c:pt>
                <c:pt idx="8">
                  <c:v>205.13</c:v>
                </c:pt>
                <c:pt idx="9">
                  <c:v>205.13</c:v>
                </c:pt>
                <c:pt idx="10">
                  <c:v>205.13</c:v>
                </c:pt>
                <c:pt idx="11">
                  <c:v>205.13</c:v>
                </c:pt>
                <c:pt idx="12">
                  <c:v>205.13</c:v>
                </c:pt>
                <c:pt idx="13">
                  <c:v>205.07</c:v>
                </c:pt>
                <c:pt idx="14">
                  <c:v>205.03</c:v>
                </c:pt>
                <c:pt idx="15">
                  <c:v>205.07</c:v>
                </c:pt>
                <c:pt idx="16">
                  <c:v>205.13167200000001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BCP!$C$7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BCP!$D$7:$Z$7</c:f>
              <c:numCache>
                <c:formatCode>#,##0</c:formatCode>
                <c:ptCount val="23"/>
                <c:pt idx="0">
                  <c:v>451.74486999999982</c:v>
                </c:pt>
                <c:pt idx="1">
                  <c:v>476.71177500000005</c:v>
                </c:pt>
                <c:pt idx="2">
                  <c:v>1269.2365459999996</c:v>
                </c:pt>
                <c:pt idx="3">
                  <c:v>1455.5970379999994</c:v>
                </c:pt>
                <c:pt idx="4">
                  <c:v>1800.3919999999998</c:v>
                </c:pt>
                <c:pt idx="5">
                  <c:v>2053.8629999999998</c:v>
                </c:pt>
                <c:pt idx="6">
                  <c:v>408.483</c:v>
                </c:pt>
                <c:pt idx="7">
                  <c:v>921.15200000000004</c:v>
                </c:pt>
                <c:pt idx="8">
                  <c:v>932.72899999999993</c:v>
                </c:pt>
                <c:pt idx="9">
                  <c:v>744.16499999999996</c:v>
                </c:pt>
                <c:pt idx="10">
                  <c:v>444.17900000000003</c:v>
                </c:pt>
                <c:pt idx="11">
                  <c:v>259.06299999999999</c:v>
                </c:pt>
                <c:pt idx="12">
                  <c:v>407.58300000000003</c:v>
                </c:pt>
                <c:pt idx="13">
                  <c:v>-1142.518</c:v>
                </c:pt>
                <c:pt idx="14">
                  <c:v>-502.416</c:v>
                </c:pt>
                <c:pt idx="15">
                  <c:v>-769.92099999999994</c:v>
                </c:pt>
                <c:pt idx="16">
                  <c:v>-189.267</c:v>
                </c:pt>
                <c:pt idx="17">
                  <c:v>475.94299999999998</c:v>
                </c:pt>
                <c:pt idx="18">
                  <c:v>1366.8240000000001</c:v>
                </c:pt>
                <c:pt idx="19">
                  <c:v>995.78</c:v>
                </c:pt>
                <c:pt idx="20">
                  <c:v>1217</c:v>
                </c:pt>
                <c:pt idx="21">
                  <c:v>1294</c:v>
                </c:pt>
                <c:pt idx="22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BCP!$C$28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BCP!$D$28:$Z$28</c:f>
              <c:numCache>
                <c:formatCode>0.0</c:formatCode>
                <c:ptCount val="23"/>
                <c:pt idx="0">
                  <c:v>8.0266545140844681</c:v>
                </c:pt>
                <c:pt idx="1">
                  <c:v>40.024184424645263</c:v>
                </c:pt>
                <c:pt idx="2">
                  <c:v>32.38684198622186</c:v>
                </c:pt>
                <c:pt idx="3">
                  <c:v>26.326650181181538</c:v>
                </c:pt>
                <c:pt idx="4">
                  <c:v>10.66178795242925</c:v>
                </c:pt>
                <c:pt idx="5">
                  <c:v>11.371529789518583</c:v>
                </c:pt>
                <c:pt idx="6">
                  <c:v>61.083792269984315</c:v>
                </c:pt>
                <c:pt idx="7">
                  <c:v>33.381965494163829</c:v>
                </c:pt>
                <c:pt idx="8">
                  <c:v>43.944801314690551</c:v>
                </c:pt>
                <c:pt idx="9">
                  <c:v>57.457878391593269</c:v>
                </c:pt>
                <c:pt idx="10">
                  <c:v>38.788826126403997</c:v>
                </c:pt>
                <c:pt idx="11">
                  <c:v>69.042765659318405</c:v>
                </c:pt>
                <c:pt idx="12">
                  <c:v>30.177539298744058</c:v>
                </c:pt>
                <c:pt idx="13">
                  <c:v>-4.1633744585205656</c:v>
                </c:pt>
                <c:pt idx="14">
                  <c:v>-21.965887936689917</c:v>
                </c:pt>
                <c:pt idx="15">
                  <c:v>-31.995436966909597</c:v>
                </c:pt>
                <c:pt idx="16">
                  <c:v>-13.558359354773945</c:v>
                </c:pt>
                <c:pt idx="17">
                  <c:v>4.8221950947907635</c:v>
                </c:pt>
                <c:pt idx="18">
                  <c:v>0.96506460231895252</c:v>
                </c:pt>
                <c:pt idx="19">
                  <c:v>3.6367551065496397</c:v>
                </c:pt>
                <c:pt idx="20">
                  <c:v>2.8501750205423173</c:v>
                </c:pt>
                <c:pt idx="21">
                  <c:v>2.3687149631109738</c:v>
                </c:pt>
                <c:pt idx="22">
                  <c:v>1.3601486940002923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Impresa!$C$6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Impresa!$D$3:$Z$3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Impresa!$D$6:$Z$6</c:f>
              <c:numCache>
                <c:formatCode>#,##0</c:formatCode>
                <c:ptCount val="23"/>
                <c:pt idx="0">
                  <c:v>322.33157999999997</c:v>
                </c:pt>
                <c:pt idx="1">
                  <c:v>340.89245499999998</c:v>
                </c:pt>
                <c:pt idx="2">
                  <c:v>294.83614899999998</c:v>
                </c:pt>
                <c:pt idx="3">
                  <c:v>245.38995399999999</c:v>
                </c:pt>
                <c:pt idx="4">
                  <c:v>262.68410599999999</c:v>
                </c:pt>
                <c:pt idx="5">
                  <c:v>256.26488799999998</c:v>
                </c:pt>
                <c:pt idx="6">
                  <c:v>261.253625</c:v>
                </c:pt>
                <c:pt idx="7">
                  <c:v>255.237863</c:v>
                </c:pt>
                <c:pt idx="8">
                  <c:v>280.11614100000003</c:v>
                </c:pt>
                <c:pt idx="9">
                  <c:v>273.08418999999998</c:v>
                </c:pt>
                <c:pt idx="10">
                  <c:v>253.21623</c:v>
                </c:pt>
                <c:pt idx="11">
                  <c:v>271.14664599999998</c:v>
                </c:pt>
                <c:pt idx="12">
                  <c:v>249.79146700000001</c:v>
                </c:pt>
                <c:pt idx="13">
                  <c:v>228.55777800000001</c:v>
                </c:pt>
                <c:pt idx="14">
                  <c:v>237.176998</c:v>
                </c:pt>
                <c:pt idx="15">
                  <c:v>237.78005899999999</c:v>
                </c:pt>
                <c:pt idx="16">
                  <c:v>227.8</c:v>
                </c:pt>
                <c:pt idx="17">
                  <c:v>204.4</c:v>
                </c:pt>
                <c:pt idx="18">
                  <c:v>197.2</c:v>
                </c:pt>
                <c:pt idx="19">
                  <c:v>170.1</c:v>
                </c:pt>
                <c:pt idx="20">
                  <c:v>180.1</c:v>
                </c:pt>
                <c:pt idx="21">
                  <c:v>178.1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Impresa!$C$27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Impresa!$D$27:$Z$27</c:f>
              <c:numCache>
                <c:formatCode>0.0</c:formatCode>
                <c:ptCount val="23"/>
                <c:pt idx="0">
                  <c:v>2.5866531600782028</c:v>
                </c:pt>
                <c:pt idx="1">
                  <c:v>1.2672618406881433</c:v>
                </c:pt>
                <c:pt idx="2">
                  <c:v>0.49817500499234918</c:v>
                </c:pt>
                <c:pt idx="3">
                  <c:v>0.52227076907965031</c:v>
                </c:pt>
                <c:pt idx="4">
                  <c:v>1.119215031609107</c:v>
                </c:pt>
                <c:pt idx="5">
                  <c:v>1.9011578363400297</c:v>
                </c:pt>
                <c:pt idx="6">
                  <c:v>1.6076331955202536</c:v>
                </c:pt>
                <c:pt idx="7">
                  <c:v>1.5402103566428935</c:v>
                </c:pt>
                <c:pt idx="8">
                  <c:v>1.2354875330086743</c:v>
                </c:pt>
                <c:pt idx="9">
                  <c:v>0.51676371305127555</c:v>
                </c:pt>
                <c:pt idx="10">
                  <c:v>1.1876016004187411</c:v>
                </c:pt>
                <c:pt idx="11">
                  <c:v>0.86742728877420827</c:v>
                </c:pt>
                <c:pt idx="12">
                  <c:v>0.31610367218828972</c:v>
                </c:pt>
                <c:pt idx="13">
                  <c:v>0.22786360829951713</c:v>
                </c:pt>
                <c:pt idx="14">
                  <c:v>0.77208161644747697</c:v>
                </c:pt>
                <c:pt idx="15">
                  <c:v>0.55816286932622894</c:v>
                </c:pt>
                <c:pt idx="16">
                  <c:v>0.34661984196663737</c:v>
                </c:pt>
                <c:pt idx="17">
                  <c:v>0.15616438356164383</c:v>
                </c:pt>
                <c:pt idx="18">
                  <c:v>0.29135902636916838</c:v>
                </c:pt>
                <c:pt idx="19">
                  <c:v>0.13471604938271606</c:v>
                </c:pt>
                <c:pt idx="20">
                  <c:v>0.19589117157134928</c:v>
                </c:pt>
                <c:pt idx="21">
                  <c:v>0.13489051094890511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Impresa!$C$7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Impresa!$D$3:$Z$3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Impresa!$D$7:$Z$7</c:f>
              <c:numCache>
                <c:formatCode>#,##0</c:formatCode>
                <c:ptCount val="23"/>
                <c:pt idx="0">
                  <c:v>51.994749999999996</c:v>
                </c:pt>
                <c:pt idx="1">
                  <c:v>56.760670000000005</c:v>
                </c:pt>
                <c:pt idx="2">
                  <c:v>63.856453999999999</c:v>
                </c:pt>
                <c:pt idx="3">
                  <c:v>41.348662000000004</c:v>
                </c:pt>
                <c:pt idx="4">
                  <c:v>34.197403000000001</c:v>
                </c:pt>
                <c:pt idx="5">
                  <c:v>52.794377999999995</c:v>
                </c:pt>
                <c:pt idx="6">
                  <c:v>49.217381000000003</c:v>
                </c:pt>
                <c:pt idx="7">
                  <c:v>40.416497</c:v>
                </c:pt>
                <c:pt idx="8">
                  <c:v>46.222424000000004</c:v>
                </c:pt>
                <c:pt idx="9">
                  <c:v>5.2079169999999992</c:v>
                </c:pt>
                <c:pt idx="10">
                  <c:v>33.247042</c:v>
                </c:pt>
                <c:pt idx="11">
                  <c:v>33.689048</c:v>
                </c:pt>
                <c:pt idx="12">
                  <c:v>-11.04566</c:v>
                </c:pt>
                <c:pt idx="13">
                  <c:v>16.301279999999998</c:v>
                </c:pt>
                <c:pt idx="14">
                  <c:v>30.350570999999999</c:v>
                </c:pt>
                <c:pt idx="15">
                  <c:v>31.704584999999998</c:v>
                </c:pt>
                <c:pt idx="16">
                  <c:v>22.5</c:v>
                </c:pt>
                <c:pt idx="17">
                  <c:v>15.5</c:v>
                </c:pt>
                <c:pt idx="18">
                  <c:v>-9.3000000000000007</c:v>
                </c:pt>
                <c:pt idx="19">
                  <c:v>15.3</c:v>
                </c:pt>
                <c:pt idx="20">
                  <c:v>24.7</c:v>
                </c:pt>
                <c:pt idx="21">
                  <c:v>30.5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Impresa!$C$28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Impresa!$D$28:$Z$28</c:f>
              <c:numCache>
                <c:formatCode>0.0</c:formatCode>
                <c:ptCount val="23"/>
                <c:pt idx="0">
                  <c:v>16.035465119074523</c:v>
                </c:pt>
                <c:pt idx="1">
                  <c:v>7.610903817731538</c:v>
                </c:pt>
                <c:pt idx="2">
                  <c:v>2.3001590410892532</c:v>
                </c:pt>
                <c:pt idx="3">
                  <c:v>3.0994956983130431</c:v>
                </c:pt>
                <c:pt idx="4">
                  <c:v>8.5971440579859237</c:v>
                </c:pt>
                <c:pt idx="5">
                  <c:v>9.2282553267319489</c:v>
                </c:pt>
                <c:pt idx="6">
                  <c:v>8.5335706912157718</c:v>
                </c:pt>
                <c:pt idx="7">
                  <c:v>9.7267212445452653</c:v>
                </c:pt>
                <c:pt idx="8">
                  <c:v>7.4872750074725625</c:v>
                </c:pt>
                <c:pt idx="9">
                  <c:v>27.097206042262201</c:v>
                </c:pt>
                <c:pt idx="10">
                  <c:v>9.0450151926297693</c:v>
                </c:pt>
                <c:pt idx="11">
                  <c:v>6.9814973697089924</c:v>
                </c:pt>
                <c:pt idx="12">
                  <c:v>-7.1485090071575623</c:v>
                </c:pt>
                <c:pt idx="13">
                  <c:v>3.1948411413091491</c:v>
                </c:pt>
                <c:pt idx="14">
                  <c:v>6.033494394553566</c:v>
                </c:pt>
                <c:pt idx="15">
                  <c:v>4.1861453162058426</c:v>
                </c:pt>
                <c:pt idx="16">
                  <c:v>3.5093333333333332</c:v>
                </c:pt>
                <c:pt idx="17">
                  <c:v>2.0593548387096776</c:v>
                </c:pt>
                <c:pt idx="18">
                  <c:v>-6.178064516129032</c:v>
                </c:pt>
                <c:pt idx="19">
                  <c:v>1.4977254901960784</c:v>
                </c:pt>
                <c:pt idx="20">
                  <c:v>1.42834008097166</c:v>
                </c:pt>
                <c:pt idx="21">
                  <c:v>0.78767213114754087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Impresa!$C$32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B-4151-8FB5-A652264CBAC7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B-4151-8FB5-A652264CB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Impresa!$D$3:$Z$3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Impresa!$D$32:$Z$32</c:f>
              <c:numCache>
                <c:formatCode>0.0%</c:formatCode>
                <c:ptCount val="23"/>
                <c:pt idx="0">
                  <c:v>0.16130827143899459</c:v>
                </c:pt>
                <c:pt idx="1">
                  <c:v>0.16650609060854693</c:v>
                </c:pt>
                <c:pt idx="2">
                  <c:v>0.21658285192159393</c:v>
                </c:pt>
                <c:pt idx="3">
                  <c:v>0.16850185317692348</c:v>
                </c:pt>
                <c:pt idx="4">
                  <c:v>0.13018451523671556</c:v>
                </c:pt>
                <c:pt idx="5">
                  <c:v>0.20601487161206414</c:v>
                </c:pt>
                <c:pt idx="6">
                  <c:v>0.18838927498135194</c:v>
                </c:pt>
                <c:pt idx="7">
                  <c:v>0.15834835993749094</c:v>
                </c:pt>
                <c:pt idx="8">
                  <c:v>0.16501164065372442</c:v>
                </c:pt>
                <c:pt idx="9">
                  <c:v>1.9070737855604161E-2</c:v>
                </c:pt>
                <c:pt idx="10">
                  <c:v>0.13129901665465915</c:v>
                </c:pt>
                <c:pt idx="11">
                  <c:v>0.12424659680282382</c:v>
                </c:pt>
                <c:pt idx="12">
                  <c:v>-4.42195249207612E-2</c:v>
                </c:pt>
                <c:pt idx="13">
                  <c:v>7.1322359460459922E-2</c:v>
                </c:pt>
                <c:pt idx="14">
                  <c:v>0.12796591261349888</c:v>
                </c:pt>
                <c:pt idx="15">
                  <c:v>0.13333576050630888</c:v>
                </c:pt>
                <c:pt idx="16">
                  <c:v>9.8770851624231784E-2</c:v>
                </c:pt>
                <c:pt idx="17">
                  <c:v>7.5831702544031307E-2</c:v>
                </c:pt>
                <c:pt idx="18">
                  <c:v>-4.7160243407707921E-2</c:v>
                </c:pt>
                <c:pt idx="19">
                  <c:v>8.9947089947089956E-2</c:v>
                </c:pt>
                <c:pt idx="20">
                  <c:v>0.13714602998334258</c:v>
                </c:pt>
                <c:pt idx="21">
                  <c:v>0.1712521055586749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Impresa!$C$33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BB-4151-8FB5-A652264CBAC7}"/>
                </c:ext>
              </c:extLst>
            </c:dLbl>
            <c:dLbl>
              <c:idx val="19"/>
              <c:layout>
                <c:manualLayout>
                  <c:x val="-1.7648245614035225E-2"/>
                  <c:y val="3.9167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B-4151-8FB5-A652264CB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Impresa!$D$3:$Z$3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Impresa!$D$33:$Z$33</c:f>
              <c:numCache>
                <c:formatCode>0.0%</c:formatCode>
                <c:ptCount val="23"/>
                <c:pt idx="0">
                  <c:v>0.13189526759990444</c:v>
                </c:pt>
                <c:pt idx="1">
                  <c:v>0.127194366915513</c:v>
                </c:pt>
                <c:pt idx="2">
                  <c:v>0.14963638329165668</c:v>
                </c:pt>
                <c:pt idx="3">
                  <c:v>8.0523887298173585E-2</c:v>
                </c:pt>
                <c:pt idx="4">
                  <c:v>2.9227040481847807E-2</c:v>
                </c:pt>
                <c:pt idx="5">
                  <c:v>0.16235649497171847</c:v>
                </c:pt>
                <c:pt idx="6">
                  <c:v>0.15463240749291038</c:v>
                </c:pt>
                <c:pt idx="7">
                  <c:v>0.12870170441757695</c:v>
                </c:pt>
                <c:pt idx="8">
                  <c:v>0.13834563357061241</c:v>
                </c:pt>
                <c:pt idx="9">
                  <c:v>-1.8137586068237788E-2</c:v>
                </c:pt>
                <c:pt idx="10">
                  <c:v>9.4280188912061441E-2</c:v>
                </c:pt>
                <c:pt idx="11">
                  <c:v>9.4275309604972962E-2</c:v>
                </c:pt>
                <c:pt idx="12">
                  <c:v>-7.6944569928003179E-2</c:v>
                </c:pt>
                <c:pt idx="13">
                  <c:v>4.0183992338252428E-2</c:v>
                </c:pt>
                <c:pt idx="14">
                  <c:v>0.10579217719924087</c:v>
                </c:pt>
                <c:pt idx="15">
                  <c:v>0.11730677550214587</c:v>
                </c:pt>
                <c:pt idx="16">
                  <c:v>8.2089552238805957E-2</c:v>
                </c:pt>
                <c:pt idx="17">
                  <c:v>5.8708414872798431E-2</c:v>
                </c:pt>
                <c:pt idx="18">
                  <c:v>-6.5922920892494935E-2</c:v>
                </c:pt>
                <c:pt idx="19">
                  <c:v>6.9370958259847154E-2</c:v>
                </c:pt>
                <c:pt idx="20">
                  <c:v>0.10494169905607995</c:v>
                </c:pt>
                <c:pt idx="21">
                  <c:v>0.14149354295339697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Impresa!$C$35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B-4151-8FB5-A652264CBAC7}"/>
                </c:ext>
              </c:extLst>
            </c:dLbl>
            <c:dLbl>
              <c:idx val="19"/>
              <c:layout>
                <c:manualLayout>
                  <c:x val="0"/>
                  <c:y val="3.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BB-4151-8FB5-A652264CB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Impresa!$D$3:$Z$3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Impresa!$D$35:$Z$35</c:f>
              <c:numCache>
                <c:formatCode>0.0%</c:formatCode>
                <c:ptCount val="23"/>
                <c:pt idx="0">
                  <c:v>1.788220688770241E-4</c:v>
                </c:pt>
                <c:pt idx="1">
                  <c:v>-0.1971633546421554</c:v>
                </c:pt>
                <c:pt idx="2">
                  <c:v>-0.17719274307846153</c:v>
                </c:pt>
                <c:pt idx="3">
                  <c:v>-0.11396223661218015</c:v>
                </c:pt>
                <c:pt idx="4">
                  <c:v>-3.8836007839773909E-2</c:v>
                </c:pt>
                <c:pt idx="5">
                  <c:v>0.11071798490006168</c:v>
                </c:pt>
                <c:pt idx="6">
                  <c:v>9.0480118696917605E-2</c:v>
                </c:pt>
                <c:pt idx="7">
                  <c:v>6.886023802824269E-2</c:v>
                </c:pt>
                <c:pt idx="8">
                  <c:v>6.7134560446482805E-2</c:v>
                </c:pt>
                <c:pt idx="9">
                  <c:v>-9.3095081776795652E-2</c:v>
                </c:pt>
                <c:pt idx="10">
                  <c:v>3.0224255372572287E-2</c:v>
                </c:pt>
                <c:pt idx="11">
                  <c:v>3.6666022415044006E-2</c:v>
                </c:pt>
                <c:pt idx="12">
                  <c:v>-0.14029357936394199</c:v>
                </c:pt>
                <c:pt idx="13">
                  <c:v>-2.2837017605237656E-2</c:v>
                </c:pt>
                <c:pt idx="14">
                  <c:v>2.7816900692874104E-2</c:v>
                </c:pt>
                <c:pt idx="15">
                  <c:v>4.6287918533992799E-2</c:v>
                </c:pt>
                <c:pt idx="16">
                  <c:v>1.755926251097454E-2</c:v>
                </c:pt>
                <c:pt idx="17">
                  <c:v>1.3698630136986301E-2</c:v>
                </c:pt>
                <c:pt idx="18">
                  <c:v>-0.10953346855983774</c:v>
                </c:pt>
                <c:pt idx="19">
                  <c:v>1.8224573780129337E-2</c:v>
                </c:pt>
                <c:pt idx="20">
                  <c:v>4.3309272626318715E-2</c:v>
                </c:pt>
                <c:pt idx="21">
                  <c:v>6.2886019090398648E-2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Impresa!$C$12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Impresa!$E$3:$Z$3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Impresa!$E$12:$Z$12</c:f>
              <c:numCache>
                <c:formatCode>#,##0</c:formatCode>
                <c:ptCount val="22"/>
                <c:pt idx="0">
                  <c:v>-67.211500000000001</c:v>
                </c:pt>
                <c:pt idx="1">
                  <c:v>-52.242826000000001</c:v>
                </c:pt>
                <c:pt idx="2">
                  <c:v>-27.965188000000001</c:v>
                </c:pt>
                <c:pt idx="3">
                  <c:v>-10.201601999999999</c:v>
                </c:pt>
                <c:pt idx="4">
                  <c:v>28.373131999999998</c:v>
                </c:pt>
                <c:pt idx="5">
                  <c:v>23.638259000000001</c:v>
                </c:pt>
                <c:pt idx="6">
                  <c:v>17.57574</c:v>
                </c:pt>
                <c:pt idx="7">
                  <c:v>18.805474</c:v>
                </c:pt>
                <c:pt idx="8">
                  <c:v>-25.422795000000001</c:v>
                </c:pt>
                <c:pt idx="9">
                  <c:v>7.6532720000000003</c:v>
                </c:pt>
                <c:pt idx="10">
                  <c:v>9.9418690000000005</c:v>
                </c:pt>
                <c:pt idx="11">
                  <c:v>-35.044139000000001</c:v>
                </c:pt>
                <c:pt idx="12">
                  <c:v>-5.2195780000000003</c:v>
                </c:pt>
                <c:pt idx="13">
                  <c:v>6.5975289999999998</c:v>
                </c:pt>
                <c:pt idx="14">
                  <c:v>11.006344</c:v>
                </c:pt>
                <c:pt idx="15">
                  <c:v>4</c:v>
                </c:pt>
                <c:pt idx="16">
                  <c:v>2.8</c:v>
                </c:pt>
                <c:pt idx="17">
                  <c:v>-21.6</c:v>
                </c:pt>
                <c:pt idx="18">
                  <c:v>3.1</c:v>
                </c:pt>
                <c:pt idx="19">
                  <c:v>7.8</c:v>
                </c:pt>
                <c:pt idx="20">
                  <c:v>11.2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Impresa!$C$36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6-4DBE-9F64-96D3B4265247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Impresa!$E$36:$Z$36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17.171174475909112</c:v>
                </c:pt>
                <c:pt idx="5">
                  <c:v>17.76780599620302</c:v>
                </c:pt>
                <c:pt idx="6">
                  <c:v>22.367194780987884</c:v>
                </c:pt>
                <c:pt idx="7">
                  <c:v>18.403152188559563</c:v>
                </c:pt>
                <c:pt idx="8">
                  <c:v>0</c:v>
                </c:pt>
                <c:pt idx="9">
                  <c:v>39.292997818449415</c:v>
                </c:pt>
                <c:pt idx="10">
                  <c:v>23.657523550149371</c:v>
                </c:pt>
                <c:pt idx="11">
                  <c:v>0</c:v>
                </c:pt>
                <c:pt idx="12">
                  <c:v>0</c:v>
                </c:pt>
                <c:pt idx="13">
                  <c:v>27.755846166041863</c:v>
                </c:pt>
                <c:pt idx="14">
                  <c:v>12.058500079590461</c:v>
                </c:pt>
                <c:pt idx="15">
                  <c:v>19.739999999999998</c:v>
                </c:pt>
                <c:pt idx="16">
                  <c:v>11.400000000000002</c:v>
                </c:pt>
                <c:pt idx="17">
                  <c:v>0</c:v>
                </c:pt>
                <c:pt idx="18">
                  <c:v>7.3919999999999995</c:v>
                </c:pt>
                <c:pt idx="19">
                  <c:v>4.523076923076923</c:v>
                </c:pt>
                <c:pt idx="20">
                  <c:v>2.145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Impresa!$C$38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C2-4F52-8903-40810639F39B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D-45A9-9013-8E8EAD107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Impresa!$D$3:$Z$3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Impresa!$D$38:$Z$38</c:f>
              <c:numCache>
                <c:formatCode>0%</c:formatCode>
                <c:ptCount val="23"/>
                <c:pt idx="0">
                  <c:v>0.34661582686431824</c:v>
                </c:pt>
                <c:pt idx="1">
                  <c:v>0.25758573522662975</c:v>
                </c:pt>
                <c:pt idx="2">
                  <c:v>0.37828928964386282</c:v>
                </c:pt>
                <c:pt idx="3">
                  <c:v>0.22497903803339811</c:v>
                </c:pt>
                <c:pt idx="4">
                  <c:v>8.0263908662631625E-2</c:v>
                </c:pt>
                <c:pt idx="5">
                  <c:v>0.3068428243526018</c:v>
                </c:pt>
                <c:pt idx="6">
                  <c:v>0.29458653017103081</c:v>
                </c:pt>
                <c:pt idx="7">
                  <c:v>0.21426223549916995</c:v>
                </c:pt>
                <c:pt idx="8">
                  <c:v>0.22562943720842668</c:v>
                </c:pt>
                <c:pt idx="9">
                  <c:v>-3.4157317132124547E-2</c:v>
                </c:pt>
                <c:pt idx="10">
                  <c:v>0.16000629428167606</c:v>
                </c:pt>
                <c:pt idx="11">
                  <c:v>0.16092947185124581</c:v>
                </c:pt>
                <c:pt idx="12">
                  <c:v>-0.15518864186360432</c:v>
                </c:pt>
                <c:pt idx="13">
                  <c:v>7.7204648171119675E-2</c:v>
                </c:pt>
                <c:pt idx="14">
                  <c:v>0.19778053121603334</c:v>
                </c:pt>
                <c:pt idx="15">
                  <c:v>0.20271229651162789</c:v>
                </c:pt>
                <c:pt idx="16">
                  <c:v>0.1318758815232722</c:v>
                </c:pt>
                <c:pt idx="17">
                  <c:v>8.3391243919388458E-2</c:v>
                </c:pt>
                <c:pt idx="18">
                  <c:v>-0.10620915032679738</c:v>
                </c:pt>
                <c:pt idx="19">
                  <c:v>9.4098883572567779E-2</c:v>
                </c:pt>
                <c:pt idx="20">
                  <c:v>0.14199849737039819</c:v>
                </c:pt>
                <c:pt idx="21">
                  <c:v>0.17487855655794587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Impresa!$C$39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2-4F52-8903-40810639F39B}"/>
                </c:ext>
              </c:extLst>
            </c:dLbl>
            <c:dLbl>
              <c:idx val="1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D-45A9-9013-8E8EAD107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Impresa!$D$3:$Z$3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Impresa!$D$39:$Z$39</c:f>
              <c:numCache>
                <c:formatCode>0%</c:formatCode>
                <c:ptCount val="23"/>
                <c:pt idx="0">
                  <c:v>4.699377043111036E-4</c:v>
                </c:pt>
                <c:pt idx="1">
                  <c:v>-0.39928236522441685</c:v>
                </c:pt>
                <c:pt idx="2">
                  <c:v>-0.44795333484203587</c:v>
                </c:pt>
                <c:pt idx="3">
                  <c:v>-0.31840383301669456</c:v>
                </c:pt>
                <c:pt idx="4">
                  <c:v>-0.10665225540057095</c:v>
                </c:pt>
                <c:pt idx="5">
                  <c:v>0.20924952339776456</c:v>
                </c:pt>
                <c:pt idx="6">
                  <c:v>0.17237152708503237</c:v>
                </c:pt>
                <c:pt idx="7">
                  <c:v>0.1146383305777048</c:v>
                </c:pt>
                <c:pt idx="8">
                  <c:v>0.10949050360193427</c:v>
                </c:pt>
                <c:pt idx="9">
                  <c:v>-0.17531981487104412</c:v>
                </c:pt>
                <c:pt idx="10">
                  <c:v>5.1294669170626181E-2</c:v>
                </c:pt>
                <c:pt idx="11">
                  <c:v>6.2589490788876892E-2</c:v>
                </c:pt>
                <c:pt idx="12">
                  <c:v>-0.28295654994297736</c:v>
                </c:pt>
                <c:pt idx="13">
                  <c:v>-4.3876275275208661E-2</c:v>
                </c:pt>
                <c:pt idx="14">
                  <c:v>5.2004236432897262E-2</c:v>
                </c:pt>
                <c:pt idx="15">
                  <c:v>7.9987965116279078E-2</c:v>
                </c:pt>
                <c:pt idx="16">
                  <c:v>2.8208744710860365E-2</c:v>
                </c:pt>
                <c:pt idx="17">
                  <c:v>1.9457956914523972E-2</c:v>
                </c:pt>
                <c:pt idx="18">
                  <c:v>-0.17647058823529413</c:v>
                </c:pt>
                <c:pt idx="19">
                  <c:v>2.4720893141945772E-2</c:v>
                </c:pt>
                <c:pt idx="20">
                  <c:v>5.8602554470323066E-2</c:v>
                </c:pt>
                <c:pt idx="21">
                  <c:v>7.7723802914642606E-2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Impresa!$C$37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Impresa!$D$3:$Z$3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Impresa!$D$37:$Z$37</c:f>
              <c:numCache>
                <c:formatCode>0.0</c:formatCode>
                <c:ptCount val="23"/>
                <c:pt idx="0">
                  <c:v>6.7976276951149508</c:v>
                </c:pt>
                <c:pt idx="1">
                  <c:v>2.5663760186418703</c:v>
                </c:pt>
                <c:pt idx="2">
                  <c:v>1.2594147533595947</c:v>
                </c:pt>
                <c:pt idx="3">
                  <c:v>1.4591940250650048</c:v>
                </c:pt>
                <c:pt idx="4">
                  <c:v>3.073611682534553</c:v>
                </c:pt>
                <c:pt idx="5">
                  <c:v>3.5930600752638409</c:v>
                </c:pt>
                <c:pt idx="6">
                  <c:v>3.0626638525161094</c:v>
                </c:pt>
                <c:pt idx="7">
                  <c:v>2.5641378693988024</c:v>
                </c:pt>
                <c:pt idx="8">
                  <c:v>2.0149704009884255</c:v>
                </c:pt>
                <c:pt idx="9">
                  <c:v>0.97318694795760052</c:v>
                </c:pt>
                <c:pt idx="10">
                  <c:v>2.0155213238194993</c:v>
                </c:pt>
                <c:pt idx="11">
                  <c:v>1.4807123523297123</c:v>
                </c:pt>
                <c:pt idx="12">
                  <c:v>0.63754595835547534</c:v>
                </c:pt>
                <c:pt idx="13">
                  <c:v>0.43778949492331887</c:v>
                </c:pt>
                <c:pt idx="14">
                  <c:v>1.4434215864139661</c:v>
                </c:pt>
                <c:pt idx="15">
                  <c:v>0.96453488372093021</c:v>
                </c:pt>
                <c:pt idx="16">
                  <c:v>0.55684062059238359</c:v>
                </c:pt>
                <c:pt idx="17">
                  <c:v>0.22182070882557331</c:v>
                </c:pt>
                <c:pt idx="18">
                  <c:v>0.46941176470588236</c:v>
                </c:pt>
                <c:pt idx="19">
                  <c:v>0.18273684210526314</c:v>
                </c:pt>
                <c:pt idx="20">
                  <c:v>0.26506386175807667</c:v>
                </c:pt>
                <c:pt idx="21">
                  <c:v>0.16671755725190837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Impresa!$C$41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Impresa!$D$41:$Z$41</c:f>
              <c:numCache>
                <c:formatCode>0.0</c:formatCode>
                <c:ptCount val="23"/>
                <c:pt idx="0">
                  <c:v>1.4493407457378271</c:v>
                </c:pt>
                <c:pt idx="1">
                  <c:v>1.4274255240238556</c:v>
                </c:pt>
                <c:pt idx="2">
                  <c:v>0.93168945289309923</c:v>
                </c:pt>
                <c:pt idx="3">
                  <c:v>0.90877478069168527</c:v>
                </c:pt>
                <c:pt idx="4">
                  <c:v>1.1005162300333817</c:v>
                </c:pt>
                <c:pt idx="5">
                  <c:v>1.074536805630004</c:v>
                </c:pt>
                <c:pt idx="6">
                  <c:v>1.0212179617053145</c:v>
                </c:pt>
                <c:pt idx="7">
                  <c:v>1.0101185465033142</c:v>
                </c:pt>
                <c:pt idx="8">
                  <c:v>0.86377385050234645</c:v>
                </c:pt>
                <c:pt idx="9">
                  <c:v>0.58278378612501702</c:v>
                </c:pt>
                <c:pt idx="10">
                  <c:v>0.55397159493079784</c:v>
                </c:pt>
                <c:pt idx="11">
                  <c:v>0.48119519215203416</c:v>
                </c:pt>
                <c:pt idx="12">
                  <c:v>0.43774724294776735</c:v>
                </c:pt>
                <c:pt idx="13">
                  <c:v>0.40401303632361479</c:v>
                </c:pt>
                <c:pt idx="14">
                  <c:v>0.40468005817156028</c:v>
                </c:pt>
                <c:pt idx="15">
                  <c:v>0.4008770111289337</c:v>
                </c:pt>
                <c:pt idx="16">
                  <c:v>0.45820029407963647</c:v>
                </c:pt>
                <c:pt idx="17">
                  <c:v>0.49050197260227391</c:v>
                </c:pt>
                <c:pt idx="18">
                  <c:v>0.33246427324118255</c:v>
                </c:pt>
                <c:pt idx="19">
                  <c:v>0.41472392638036809</c:v>
                </c:pt>
                <c:pt idx="20">
                  <c:v>0.45416666666666666</c:v>
                </c:pt>
                <c:pt idx="21">
                  <c:v>0.61800947867298583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Impresa!$C$45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Impresa!$D$45:$Z$45</c:f>
              <c:numCache>
                <c:formatCode>0.0</c:formatCode>
                <c:ptCount val="23"/>
                <c:pt idx="0">
                  <c:v>1.9594953077771959</c:v>
                </c:pt>
                <c:pt idx="1">
                  <c:v>1.2083297911997659</c:v>
                </c:pt>
                <c:pt idx="2">
                  <c:v>2.0520766285624825</c:v>
                </c:pt>
                <c:pt idx="3">
                  <c:v>3.7247736339306425</c:v>
                </c:pt>
                <c:pt idx="4">
                  <c:v>3.0320603416463658</c:v>
                </c:pt>
                <c:pt idx="5">
                  <c:v>1.4232369375248641</c:v>
                </c:pt>
                <c:pt idx="6">
                  <c:v>3.2836112263256081</c:v>
                </c:pt>
                <c:pt idx="7">
                  <c:v>3.0580789750680708</c:v>
                </c:pt>
                <c:pt idx="8">
                  <c:v>2.9215131766301816</c:v>
                </c:pt>
                <c:pt idx="9">
                  <c:v>3.5796003064932025</c:v>
                </c:pt>
                <c:pt idx="10">
                  <c:v>3.3778161409572185</c:v>
                </c:pt>
                <c:pt idx="11">
                  <c:v>3.0495828870447204</c:v>
                </c:pt>
                <c:pt idx="12">
                  <c:v>3.5673011430490109</c:v>
                </c:pt>
                <c:pt idx="13">
                  <c:v>3.539328337607119</c:v>
                </c:pt>
                <c:pt idx="14">
                  <c:v>2.3254020396543349</c:v>
                </c:pt>
                <c:pt idx="15">
                  <c:v>1.9585755813953489</c:v>
                </c:pt>
                <c:pt idx="16">
                  <c:v>1.8455571227080392</c:v>
                </c:pt>
                <c:pt idx="17">
                  <c:v>1.8742182070882556</c:v>
                </c:pt>
                <c:pt idx="18">
                  <c:v>2.1723856209150325</c:v>
                </c:pt>
                <c:pt idx="19">
                  <c:v>2.16347687400319</c:v>
                </c:pt>
                <c:pt idx="20">
                  <c:v>1.861006761833208</c:v>
                </c:pt>
                <c:pt idx="21">
                  <c:v>1.7147814018043026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Inapa!$C$26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Inapa!$H$26:$AE$26</c:f>
              <c:numCache>
                <c:formatCode>General</c:formatCode>
                <c:ptCount val="24"/>
                <c:pt idx="0">
                  <c:v>826.5</c:v>
                </c:pt>
                <c:pt idx="1">
                  <c:v>748.5</c:v>
                </c:pt>
                <c:pt idx="2">
                  <c:v>520.5</c:v>
                </c:pt>
                <c:pt idx="3">
                  <c:v>435</c:v>
                </c:pt>
                <c:pt idx="4" formatCode="#,##0">
                  <c:v>351</c:v>
                </c:pt>
                <c:pt idx="5" formatCode="#,##0">
                  <c:v>258</c:v>
                </c:pt>
                <c:pt idx="6" formatCode="#,##0">
                  <c:v>253.5</c:v>
                </c:pt>
                <c:pt idx="7" formatCode="#,##0">
                  <c:v>261</c:v>
                </c:pt>
                <c:pt idx="8" formatCode="#,##0">
                  <c:v>245.99999999999997</c:v>
                </c:pt>
                <c:pt idx="9" formatCode="#,##0">
                  <c:v>138</c:v>
                </c:pt>
                <c:pt idx="10" formatCode="#,##0">
                  <c:v>51.000000000000007</c:v>
                </c:pt>
                <c:pt idx="11" formatCode="#,##0">
                  <c:v>96</c:v>
                </c:pt>
                <c:pt idx="12" formatCode="#,##0">
                  <c:v>56.25</c:v>
                </c:pt>
                <c:pt idx="13" formatCode="#,##0">
                  <c:v>63.123261740000011</c:v>
                </c:pt>
                <c:pt idx="14" formatCode="#,##0">
                  <c:v>54.105652919999997</c:v>
                </c:pt>
                <c:pt idx="15" formatCode="#,##0">
                  <c:v>99.193697020000002</c:v>
                </c:pt>
                <c:pt idx="16" formatCode="#,##0">
                  <c:v>67.63206615</c:v>
                </c:pt>
                <c:pt idx="17" formatCode="#,##0">
                  <c:v>47.342446305000003</c:v>
                </c:pt>
                <c:pt idx="18" formatCode="#,##0">
                  <c:v>50.047728951000003</c:v>
                </c:pt>
                <c:pt idx="19" formatCode="#,##0">
                  <c:v>57.712696448000003</c:v>
                </c:pt>
                <c:pt idx="20" formatCode="#,##0">
                  <c:v>28.856348224000001</c:v>
                </c:pt>
                <c:pt idx="21" formatCode="#,##0">
                  <c:v>18.486098081000002</c:v>
                </c:pt>
                <c:pt idx="22" formatCode="#,##0">
                  <c:v>17.7646893754</c:v>
                </c:pt>
                <c:pt idx="23" formatCode="#,##0">
                  <c:v>11.576961175999999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Inapa!$C$5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9-4594-9C14-76F514A2FDDF}"/>
                </c:ext>
              </c:extLst>
            </c:dLbl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59-4594-9C14-76F514A2F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Inapa!$H$5:$AE$5</c:f>
              <c:numCache>
                <c:formatCode>#,##0</c:formatCode>
                <c:ptCount val="2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450.88044100000002</c:v>
                </c:pt>
                <c:pt idx="14">
                  <c:v>450.88044100000002</c:v>
                </c:pt>
                <c:pt idx="15">
                  <c:v>450.88044100000002</c:v>
                </c:pt>
                <c:pt idx="16">
                  <c:v>450.88044100000002</c:v>
                </c:pt>
                <c:pt idx="17">
                  <c:v>450.88044100000002</c:v>
                </c:pt>
                <c:pt idx="18">
                  <c:v>450.88044100000002</c:v>
                </c:pt>
                <c:pt idx="19">
                  <c:v>450.88044100000002</c:v>
                </c:pt>
                <c:pt idx="20">
                  <c:v>450.88044100000002</c:v>
                </c:pt>
                <c:pt idx="21">
                  <c:v>450.88044100000002</c:v>
                </c:pt>
                <c:pt idx="22">
                  <c:v>450.88044100000002</c:v>
                </c:pt>
                <c:pt idx="23">
                  <c:v>526.22550799999999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Inapa!$C$6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1.8567251461987964E-3"/>
                  <c:y val="-3.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0A-4B5E-92F1-B3972BAB4A3F}"/>
                </c:ext>
              </c:extLst>
            </c:dLbl>
            <c:dLbl>
              <c:idx val="7"/>
              <c:layout>
                <c:manualLayout>
                  <c:x val="0"/>
                  <c:y val="-2.4694444444444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3-4E7F-82CF-7019BF1F71FA}"/>
                </c:ext>
              </c:extLst>
            </c:dLbl>
            <c:dLbl>
              <c:idx val="8"/>
              <c:layout>
                <c:manualLayout>
                  <c:x val="5.5701754385964908E-3"/>
                  <c:y val="-3.8805555555555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3-4E7F-82CF-7019BF1F7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Inapa!$H$6:$AE$6</c:f>
              <c:numCache>
                <c:formatCode>#,##0</c:formatCode>
                <c:ptCount val="24"/>
                <c:pt idx="0">
                  <c:v>459.48435000000001</c:v>
                </c:pt>
                <c:pt idx="1">
                  <c:v>636.39727500000004</c:v>
                </c:pt>
                <c:pt idx="2">
                  <c:v>1155.7861799999998</c:v>
                </c:pt>
                <c:pt idx="3">
                  <c:v>1159.6278500000001</c:v>
                </c:pt>
                <c:pt idx="4">
                  <c:v>902.99540698999988</c:v>
                </c:pt>
                <c:pt idx="5">
                  <c:v>882.93421191000004</c:v>
                </c:pt>
                <c:pt idx="6">
                  <c:v>1091.038</c:v>
                </c:pt>
                <c:pt idx="7">
                  <c:v>1108.4559999999999</c:v>
                </c:pt>
                <c:pt idx="8">
                  <c:v>1109.9490000000001</c:v>
                </c:pt>
                <c:pt idx="9">
                  <c:v>1090.961</c:v>
                </c:pt>
                <c:pt idx="10">
                  <c:v>1078.0830000000001</c:v>
                </c:pt>
                <c:pt idx="11">
                  <c:v>970.83299999999997</c:v>
                </c:pt>
                <c:pt idx="12">
                  <c:v>1017.471</c:v>
                </c:pt>
                <c:pt idx="13">
                  <c:v>1025.443</c:v>
                </c:pt>
                <c:pt idx="14">
                  <c:v>963.99400000000003</c:v>
                </c:pt>
                <c:pt idx="15">
                  <c:v>921.26099999999997</c:v>
                </c:pt>
                <c:pt idx="16">
                  <c:v>942.51700000000005</c:v>
                </c:pt>
                <c:pt idx="17">
                  <c:v>909.72299999999996</c:v>
                </c:pt>
                <c:pt idx="18">
                  <c:v>888.4</c:v>
                </c:pt>
                <c:pt idx="19">
                  <c:v>914.3</c:v>
                </c:pt>
                <c:pt idx="20">
                  <c:v>887.8</c:v>
                </c:pt>
                <c:pt idx="21">
                  <c:v>1060</c:v>
                </c:pt>
                <c:pt idx="22">
                  <c:v>1041.3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Inapa!$C$27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Inapa!$H$27:$AE$27</c:f>
              <c:numCache>
                <c:formatCode>0.0</c:formatCode>
                <c:ptCount val="24"/>
                <c:pt idx="0">
                  <c:v>1.7987554962426904</c:v>
                </c:pt>
                <c:pt idx="1">
                  <c:v>1.1761521134734587</c:v>
                </c:pt>
                <c:pt idx="2">
                  <c:v>0.45034281340861859</c:v>
                </c:pt>
                <c:pt idx="3">
                  <c:v>0.37512034572125874</c:v>
                </c:pt>
                <c:pt idx="4">
                  <c:v>0.38870629604862111</c:v>
                </c:pt>
                <c:pt idx="5">
                  <c:v>0.29220750144213309</c:v>
                </c:pt>
                <c:pt idx="6">
                  <c:v>0.232347544265186</c:v>
                </c:pt>
                <c:pt idx="7">
                  <c:v>0.23546266157610227</c:v>
                </c:pt>
                <c:pt idx="8">
                  <c:v>0.22163180470454044</c:v>
                </c:pt>
                <c:pt idx="9">
                  <c:v>0.12649398099473766</c:v>
                </c:pt>
                <c:pt idx="10">
                  <c:v>4.7306190710733775E-2</c:v>
                </c:pt>
                <c:pt idx="11">
                  <c:v>9.8884154123314721E-2</c:v>
                </c:pt>
                <c:pt idx="12">
                  <c:v>5.5284130948203926E-2</c:v>
                </c:pt>
                <c:pt idx="13">
                  <c:v>6.1557065326888004E-2</c:v>
                </c:pt>
                <c:pt idx="14">
                  <c:v>5.6126545310447987E-2</c:v>
                </c:pt>
                <c:pt idx="15">
                  <c:v>0.10767165550262087</c:v>
                </c:pt>
                <c:pt idx="16">
                  <c:v>7.1756866083052082E-2</c:v>
                </c:pt>
                <c:pt idx="17">
                  <c:v>5.20405071708641E-2</c:v>
                </c:pt>
                <c:pt idx="18">
                  <c:v>5.6334679143403878E-2</c:v>
                </c:pt>
                <c:pt idx="19">
                  <c:v>6.3122275454446028E-2</c:v>
                </c:pt>
                <c:pt idx="20">
                  <c:v>3.2503208182022979E-2</c:v>
                </c:pt>
                <c:pt idx="21">
                  <c:v>1.7439715170754717E-2</c:v>
                </c:pt>
                <c:pt idx="22">
                  <c:v>1.7060106958033228E-2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Inapa!$C$7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Inapa!$H$7:$AE$7</c:f>
              <c:numCache>
                <c:formatCode>#,##0</c:formatCode>
                <c:ptCount val="24"/>
                <c:pt idx="0">
                  <c:v>45.078275000000005</c:v>
                </c:pt>
                <c:pt idx="1">
                  <c:v>42.055039999999998</c:v>
                </c:pt>
                <c:pt idx="2">
                  <c:v>40.809579999999997</c:v>
                </c:pt>
                <c:pt idx="3">
                  <c:v>27.24906</c:v>
                </c:pt>
                <c:pt idx="4">
                  <c:v>26.951409999999999</c:v>
                </c:pt>
                <c:pt idx="5">
                  <c:v>25.4282</c:v>
                </c:pt>
                <c:pt idx="6">
                  <c:v>38.728999999999999</c:v>
                </c:pt>
                <c:pt idx="7">
                  <c:v>31.305</c:v>
                </c:pt>
                <c:pt idx="8">
                  <c:v>20.021000000000001</c:v>
                </c:pt>
                <c:pt idx="9">
                  <c:v>35.747999999999998</c:v>
                </c:pt>
                <c:pt idx="10">
                  <c:v>40.302</c:v>
                </c:pt>
                <c:pt idx="11">
                  <c:v>29.998999999999999</c:v>
                </c:pt>
                <c:pt idx="12">
                  <c:v>30.579000000000001</c:v>
                </c:pt>
                <c:pt idx="13">
                  <c:v>23.326000000000001</c:v>
                </c:pt>
                <c:pt idx="14">
                  <c:v>17.701000000000001</c:v>
                </c:pt>
                <c:pt idx="15">
                  <c:v>22.454000000000001</c:v>
                </c:pt>
                <c:pt idx="16">
                  <c:v>23.83</c:v>
                </c:pt>
                <c:pt idx="17">
                  <c:v>22.1</c:v>
                </c:pt>
                <c:pt idx="18">
                  <c:v>26.9</c:v>
                </c:pt>
                <c:pt idx="19">
                  <c:v>19.009</c:v>
                </c:pt>
                <c:pt idx="20">
                  <c:v>16.399999999999999</c:v>
                </c:pt>
                <c:pt idx="21">
                  <c:v>26.7</c:v>
                </c:pt>
                <c:pt idx="22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Inapa!$C$28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Inapa!$H$28:$AE$28</c:f>
              <c:numCache>
                <c:formatCode>0.0</c:formatCode>
                <c:ptCount val="24"/>
                <c:pt idx="0">
                  <c:v>18.334774345291606</c:v>
                </c:pt>
                <c:pt idx="1">
                  <c:v>17.798104579142002</c:v>
                </c:pt>
                <c:pt idx="2">
                  <c:v>12.754358167861566</c:v>
                </c:pt>
                <c:pt idx="3">
                  <c:v>15.963853432008296</c:v>
                </c:pt>
                <c:pt idx="4">
                  <c:v>13.023437363759447</c:v>
                </c:pt>
                <c:pt idx="5">
                  <c:v>10.146215618879825</c:v>
                </c:pt>
                <c:pt idx="6">
                  <c:v>6.5454827132123219</c:v>
                </c:pt>
                <c:pt idx="7">
                  <c:v>8.3373263057019642</c:v>
                </c:pt>
                <c:pt idx="8">
                  <c:v>12.287098546526146</c:v>
                </c:pt>
                <c:pt idx="9">
                  <c:v>3.8603558241020481</c:v>
                </c:pt>
                <c:pt idx="10">
                  <c:v>1.2654458835789788</c:v>
                </c:pt>
                <c:pt idx="11">
                  <c:v>3.2001066702223411</c:v>
                </c:pt>
                <c:pt idx="12">
                  <c:v>1.8394976944962229</c:v>
                </c:pt>
                <c:pt idx="13">
                  <c:v>2.7061331449884252</c:v>
                </c:pt>
                <c:pt idx="14">
                  <c:v>3.0566438574091856</c:v>
                </c:pt>
                <c:pt idx="15">
                  <c:v>4.4176403767702856</c:v>
                </c:pt>
                <c:pt idx="16">
                  <c:v>2.8381060071338653</c:v>
                </c:pt>
                <c:pt idx="17">
                  <c:v>2.1421921404977375</c:v>
                </c:pt>
                <c:pt idx="18">
                  <c:v>1.8605103699256509</c:v>
                </c:pt>
                <c:pt idx="19">
                  <c:v>3.0360721999053082</c:v>
                </c:pt>
                <c:pt idx="20">
                  <c:v>1.7595334282926831</c:v>
                </c:pt>
                <c:pt idx="21">
                  <c:v>0.69236322400749073</c:v>
                </c:pt>
                <c:pt idx="22">
                  <c:v>1.1243474288227848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Inapa!$C$32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72-4F3F-BD29-C42FCBAC6273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95-4860-9F9D-27D3B2765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Inapa!$H$32:$AE$32</c:f>
              <c:numCache>
                <c:formatCode>0.0%</c:formatCode>
                <c:ptCount val="24"/>
                <c:pt idx="0">
                  <c:v>9.8106224945419804E-2</c:v>
                </c:pt>
                <c:pt idx="1">
                  <c:v>6.6082998234082632E-2</c:v>
                </c:pt>
                <c:pt idx="2">
                  <c:v>3.5308935775646672E-2</c:v>
                </c:pt>
                <c:pt idx="3">
                  <c:v>2.3498107604090396E-2</c:v>
                </c:pt>
                <c:pt idx="4">
                  <c:v>2.9846674513925264E-2</c:v>
                </c:pt>
                <c:pt idx="5">
                  <c:v>2.8799654217716471E-2</c:v>
                </c:pt>
                <c:pt idx="6">
                  <c:v>3.5497388725232303E-2</c:v>
                </c:pt>
                <c:pt idx="7">
                  <c:v>2.8241987052260081E-2</c:v>
                </c:pt>
                <c:pt idx="8">
                  <c:v>1.8037765699144736E-2</c:v>
                </c:pt>
                <c:pt idx="9">
                  <c:v>3.2767440815941171E-2</c:v>
                </c:pt>
                <c:pt idx="10">
                  <c:v>3.7383021529882203E-2</c:v>
                </c:pt>
                <c:pt idx="11">
                  <c:v>3.0900268120263731E-2</c:v>
                </c:pt>
                <c:pt idx="12">
                  <c:v>3.0053927826935608E-2</c:v>
                </c:pt>
                <c:pt idx="13">
                  <c:v>2.2747241923734427E-2</c:v>
                </c:pt>
                <c:pt idx="14">
                  <c:v>1.8362147482245739E-2</c:v>
                </c:pt>
                <c:pt idx="15">
                  <c:v>2.4373114676514041E-2</c:v>
                </c:pt>
                <c:pt idx="16">
                  <c:v>2.5283363589197857E-2</c:v>
                </c:pt>
                <c:pt idx="17">
                  <c:v>2.4293109001311392E-2</c:v>
                </c:pt>
                <c:pt idx="18">
                  <c:v>3.0279153534443944E-2</c:v>
                </c:pt>
                <c:pt idx="19">
                  <c:v>2.079076889423603E-2</c:v>
                </c:pt>
                <c:pt idx="20">
                  <c:v>1.8472628970488847E-2</c:v>
                </c:pt>
                <c:pt idx="21">
                  <c:v>2.5188679245283018E-2</c:v>
                </c:pt>
                <c:pt idx="22">
                  <c:v>1.5173341016037647E-2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Inapa!$C$33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F3F-BD29-C42FCBAC6273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95-4860-9F9D-27D3B2765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Inapa!$H$33:$AE$33</c:f>
              <c:numCache>
                <c:formatCode>0.0%</c:formatCode>
                <c:ptCount val="24"/>
                <c:pt idx="0">
                  <c:v>4.8962211661833531E-2</c:v>
                </c:pt>
                <c:pt idx="1">
                  <c:v>2.1408199775839704E-2</c:v>
                </c:pt>
                <c:pt idx="2">
                  <c:v>2.053901527010818E-2</c:v>
                </c:pt>
                <c:pt idx="3">
                  <c:v>8.8585575104978709E-3</c:v>
                </c:pt>
                <c:pt idx="4">
                  <c:v>1.2499963911915003E-2</c:v>
                </c:pt>
                <c:pt idx="5">
                  <c:v>1.1058808083648357E-2</c:v>
                </c:pt>
                <c:pt idx="6">
                  <c:v>2.6480287579351038E-2</c:v>
                </c:pt>
                <c:pt idx="7">
                  <c:v>2.160933767330413E-2</c:v>
                </c:pt>
                <c:pt idx="8">
                  <c:v>1.1893339243514793E-2</c:v>
                </c:pt>
                <c:pt idx="9">
                  <c:v>2.6904719783750287E-2</c:v>
                </c:pt>
                <c:pt idx="10">
                  <c:v>3.1162721237604149E-2</c:v>
                </c:pt>
                <c:pt idx="11">
                  <c:v>2.4420265895370264E-2</c:v>
                </c:pt>
                <c:pt idx="12">
                  <c:v>2.3701904034611306E-2</c:v>
                </c:pt>
                <c:pt idx="13">
                  <c:v>1.6918541547409266E-2</c:v>
                </c:pt>
                <c:pt idx="14">
                  <c:v>1.2628709307319338E-2</c:v>
                </c:pt>
                <c:pt idx="15">
                  <c:v>1.8231532649270944E-2</c:v>
                </c:pt>
                <c:pt idx="16">
                  <c:v>1.9309996530566555E-2</c:v>
                </c:pt>
                <c:pt idx="17">
                  <c:v>1.8687006924085686E-2</c:v>
                </c:pt>
                <c:pt idx="18">
                  <c:v>2.3975686627645206E-2</c:v>
                </c:pt>
                <c:pt idx="19">
                  <c:v>1.4765394290714209E-2</c:v>
                </c:pt>
                <c:pt idx="20">
                  <c:v>1.193962604190133E-2</c:v>
                </c:pt>
                <c:pt idx="21">
                  <c:v>1.0188679245283019E-2</c:v>
                </c:pt>
                <c:pt idx="22">
                  <c:v>-2.5929127052722561E-3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Inapa!$C$35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F3F-BD29-C42FCBAC6273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5-4860-9F9D-27D3B2765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Inapa!$H$35:$AE$35</c:f>
              <c:numCache>
                <c:formatCode>0.0%</c:formatCode>
                <c:ptCount val="24"/>
                <c:pt idx="0">
                  <c:v>3.6932879215581554E-2</c:v>
                </c:pt>
                <c:pt idx="1">
                  <c:v>1.0668375347773134E-2</c:v>
                </c:pt>
                <c:pt idx="2">
                  <c:v>5.9699623679528697E-6</c:v>
                </c:pt>
                <c:pt idx="3">
                  <c:v>-6.7266494160173884E-3</c:v>
                </c:pt>
                <c:pt idx="4">
                  <c:v>1.249089642393376E-3</c:v>
                </c:pt>
                <c:pt idx="5">
                  <c:v>1.2440201944649096E-3</c:v>
                </c:pt>
                <c:pt idx="6">
                  <c:v>5.1098128571140508E-3</c:v>
                </c:pt>
                <c:pt idx="7">
                  <c:v>1.5417842476381563E-3</c:v>
                </c:pt>
                <c:pt idx="8">
                  <c:v>-4.7805800086310267E-2</c:v>
                </c:pt>
                <c:pt idx="9">
                  <c:v>-9.4008860078407929E-3</c:v>
                </c:pt>
                <c:pt idx="10">
                  <c:v>1.0333156167011261E-3</c:v>
                </c:pt>
                <c:pt idx="11">
                  <c:v>2.3351080978911923E-3</c:v>
                </c:pt>
                <c:pt idx="12">
                  <c:v>2.9917314596681378E-3</c:v>
                </c:pt>
                <c:pt idx="13">
                  <c:v>5.8296755646096371E-3</c:v>
                </c:pt>
                <c:pt idx="14">
                  <c:v>-5.9855144326624431E-3</c:v>
                </c:pt>
                <c:pt idx="15">
                  <c:v>1.4686391804276963E-3</c:v>
                </c:pt>
                <c:pt idx="16">
                  <c:v>2.2280765227576799E-3</c:v>
                </c:pt>
                <c:pt idx="17">
                  <c:v>-4.39694280566722E-4</c:v>
                </c:pt>
                <c:pt idx="18">
                  <c:v>4.9527239981990096E-3</c:v>
                </c:pt>
                <c:pt idx="19">
                  <c:v>2.1874658208465494E-4</c:v>
                </c:pt>
                <c:pt idx="20">
                  <c:v>-4.0549673349853576E-3</c:v>
                </c:pt>
                <c:pt idx="21">
                  <c:v>-3.8679245283018866E-3</c:v>
                </c:pt>
                <c:pt idx="22">
                  <c:v>-1.4885239604340728E-2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BCP!$C$32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7D-45B6-810A-43C8C4270A48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D-45B6-810A-43C8C4270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BCP!$D$32:$Z$32</c:f>
              <c:numCache>
                <c:formatCode>0.0%</c:formatCode>
                <c:ptCount val="23"/>
                <c:pt idx="0">
                  <c:v>0.22541797939201183</c:v>
                </c:pt>
                <c:pt idx="1">
                  <c:v>0.24853180283788104</c:v>
                </c:pt>
                <c:pt idx="2">
                  <c:v>0.34560907652439238</c:v>
                </c:pt>
                <c:pt idx="3">
                  <c:v>0.36130177074467373</c:v>
                </c:pt>
                <c:pt idx="4">
                  <c:v>0.38716825292237628</c:v>
                </c:pt>
                <c:pt idx="5">
                  <c:v>0.44197830116223941</c:v>
                </c:pt>
                <c:pt idx="6">
                  <c:v>0.16833983230429525</c:v>
                </c:pt>
                <c:pt idx="7">
                  <c:v>0.32204384737290892</c:v>
                </c:pt>
                <c:pt idx="8">
                  <c:v>0.34519922635142386</c:v>
                </c:pt>
                <c:pt idx="9">
                  <c:v>0.27229447240373195</c:v>
                </c:pt>
                <c:pt idx="10">
                  <c:v>0.17140833928261331</c:v>
                </c:pt>
                <c:pt idx="11">
                  <c:v>0.11014761292912045</c:v>
                </c:pt>
                <c:pt idx="12">
                  <c:v>0.14447329383428478</c:v>
                </c:pt>
                <c:pt idx="13">
                  <c:v>-0.44719327525848734</c:v>
                </c:pt>
                <c:pt idx="14">
                  <c:v>-0.24271116744991342</c:v>
                </c:pt>
                <c:pt idx="15">
                  <c:v>-0.44152213457140427</c:v>
                </c:pt>
                <c:pt idx="16">
                  <c:v>-8.559996454195809E-2</c:v>
                </c:pt>
                <c:pt idx="17">
                  <c:v>0.18960671415635422</c:v>
                </c:pt>
                <c:pt idx="18">
                  <c:v>0.67597626112759646</c:v>
                </c:pt>
                <c:pt idx="19">
                  <c:v>0.47372978116079922</c:v>
                </c:pt>
                <c:pt idx="20">
                  <c:v>0.55647005029721075</c:v>
                </c:pt>
                <c:pt idx="21">
                  <c:v>0.55346449957228405</c:v>
                </c:pt>
                <c:pt idx="22">
                  <c:v>0.58429364063166878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BCP!$C$33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D-45B6-810A-43C8C4270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BCP!$D$33:$Z$33</c:f>
              <c:numCache>
                <c:formatCode>0.0%</c:formatCode>
                <c:ptCount val="23"/>
                <c:pt idx="0">
                  <c:v>0.16131516934298223</c:v>
                </c:pt>
                <c:pt idx="1">
                  <c:v>0.18183153680828398</c:v>
                </c:pt>
                <c:pt idx="2">
                  <c:v>0.3212159104121674</c:v>
                </c:pt>
                <c:pt idx="3">
                  <c:v>0.34146339379615087</c:v>
                </c:pt>
                <c:pt idx="4">
                  <c:v>0.34974497618788536</c:v>
                </c:pt>
                <c:pt idx="5">
                  <c:v>0.3982819368376474</c:v>
                </c:pt>
                <c:pt idx="6">
                  <c:v>8.0896322250053374E-2</c:v>
                </c:pt>
                <c:pt idx="7">
                  <c:v>0.27317223076629943</c:v>
                </c:pt>
                <c:pt idx="8">
                  <c:v>0.30393648857402772</c:v>
                </c:pt>
                <c:pt idx="9">
                  <c:v>0.23025333139159193</c:v>
                </c:pt>
                <c:pt idx="10">
                  <c:v>0.1278623111505586</c:v>
                </c:pt>
                <c:pt idx="11">
                  <c:v>6.5616281215427799E-2</c:v>
                </c:pt>
                <c:pt idx="12">
                  <c:v>0.12527625998479353</c:v>
                </c:pt>
                <c:pt idx="13">
                  <c:v>-0.47336179146913493</c:v>
                </c:pt>
                <c:pt idx="14">
                  <c:v>-0.27558530948553056</c:v>
                </c:pt>
                <c:pt idx="15">
                  <c:v>-0.48058823664344519</c:v>
                </c:pt>
                <c:pt idx="16">
                  <c:v>-0.11524315894971833</c:v>
                </c:pt>
                <c:pt idx="17">
                  <c:v>0.16306536757233306</c:v>
                </c:pt>
                <c:pt idx="18">
                  <c:v>0.6513353115727003</c:v>
                </c:pt>
                <c:pt idx="19">
                  <c:v>0.44823977164605139</c:v>
                </c:pt>
                <c:pt idx="20">
                  <c:v>0.52994970278920894</c:v>
                </c:pt>
                <c:pt idx="21">
                  <c:v>0.5</c:v>
                </c:pt>
                <c:pt idx="22">
                  <c:v>0.5253947930004268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BCP!$C$35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D-45B6-810A-43C8C4270A48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D-45B6-810A-43C8C4270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BCP!$D$35:$Z$35</c:f>
              <c:numCache>
                <c:formatCode>0.0%</c:formatCode>
                <c:ptCount val="23"/>
                <c:pt idx="0">
                  <c:v>0.1352404300167615</c:v>
                </c:pt>
                <c:pt idx="1">
                  <c:v>0.22492111402069417</c:v>
                </c:pt>
                <c:pt idx="2">
                  <c:v>0.29438581137509079</c:v>
                </c:pt>
                <c:pt idx="3">
                  <c:v>0.1282321073224322</c:v>
                </c:pt>
                <c:pt idx="4">
                  <c:v>5.8647971658573023E-2</c:v>
                </c:pt>
                <c:pt idx="5">
                  <c:v>9.4180367150515268E-2</c:v>
                </c:pt>
                <c:pt idx="6">
                  <c:v>0.2602613270428899</c:v>
                </c:pt>
                <c:pt idx="7">
                  <c:v>0.29384256577298218</c:v>
                </c:pt>
                <c:pt idx="8">
                  <c:v>0.31054714245215215</c:v>
                </c:pt>
                <c:pt idx="9">
                  <c:v>0.22636631146947134</c:v>
                </c:pt>
                <c:pt idx="10">
                  <c:v>9.956624925232023E-2</c:v>
                </c:pt>
                <c:pt idx="11">
                  <c:v>0.10599746084332995</c:v>
                </c:pt>
                <c:pt idx="12">
                  <c:v>0.14311959775482824</c:v>
                </c:pt>
                <c:pt idx="13">
                  <c:v>-0.29855600924354486</c:v>
                </c:pt>
                <c:pt idx="14">
                  <c:v>-0.5493725652362107</c:v>
                </c:pt>
                <c:pt idx="15">
                  <c:v>-0.37088682798597078</c:v>
                </c:pt>
                <c:pt idx="16">
                  <c:v>-5.2716701099561121E-2</c:v>
                </c:pt>
                <c:pt idx="17">
                  <c:v>0.14380005410015859</c:v>
                </c:pt>
                <c:pt idx="18">
                  <c:v>-1.0534124629080118E-2</c:v>
                </c:pt>
                <c:pt idx="19">
                  <c:v>8.8672692673644138E-2</c:v>
                </c:pt>
                <c:pt idx="20">
                  <c:v>0.13767718335619572</c:v>
                </c:pt>
                <c:pt idx="21">
                  <c:v>0.12917023096663816</c:v>
                </c:pt>
                <c:pt idx="22">
                  <c:v>7.8109261630388394E-2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Inapa!$C$12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Inapa!$H$12:$AE$12</c:f>
              <c:numCache>
                <c:formatCode>#,##0</c:formatCode>
                <c:ptCount val="24"/>
                <c:pt idx="0">
                  <c:v>16.970079999999999</c:v>
                </c:pt>
                <c:pt idx="1">
                  <c:v>6.7893249999999998</c:v>
                </c:pt>
                <c:pt idx="2" formatCode="#\ ##0.000">
                  <c:v>6.9000000000000008E-3</c:v>
                </c:pt>
                <c:pt idx="3">
                  <c:v>-7.8004100000000003</c:v>
                </c:pt>
                <c:pt idx="4">
                  <c:v>1.1279222099999999</c:v>
                </c:pt>
                <c:pt idx="5">
                  <c:v>1.09838799</c:v>
                </c:pt>
                <c:pt idx="6">
                  <c:v>5.5750000000000002</c:v>
                </c:pt>
                <c:pt idx="7">
                  <c:v>1.7090000000000001</c:v>
                </c:pt>
                <c:pt idx="8">
                  <c:v>-53.061999999999998</c:v>
                </c:pt>
                <c:pt idx="9">
                  <c:v>-10.256</c:v>
                </c:pt>
                <c:pt idx="10">
                  <c:v>1.1140000000000001</c:v>
                </c:pt>
                <c:pt idx="11">
                  <c:v>2.2669999999999999</c:v>
                </c:pt>
                <c:pt idx="12">
                  <c:v>3.044</c:v>
                </c:pt>
                <c:pt idx="13">
                  <c:v>5.9779999999999998</c:v>
                </c:pt>
                <c:pt idx="14">
                  <c:v>-5.77</c:v>
                </c:pt>
                <c:pt idx="15">
                  <c:v>1.353</c:v>
                </c:pt>
                <c:pt idx="16">
                  <c:v>2.1</c:v>
                </c:pt>
                <c:pt idx="17">
                  <c:v>-0.4</c:v>
                </c:pt>
                <c:pt idx="18">
                  <c:v>4.4000000000000004</c:v>
                </c:pt>
                <c:pt idx="19" formatCode="#,##0.00">
                  <c:v>0.2</c:v>
                </c:pt>
                <c:pt idx="20" formatCode="#,##0.00">
                  <c:v>-3.6</c:v>
                </c:pt>
                <c:pt idx="21">
                  <c:v>-4.0999999999999996</c:v>
                </c:pt>
                <c:pt idx="22">
                  <c:v>-15.5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Inapa!$C$36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val>
            <c:numRef>
              <c:f>Inapa!$H$36:$AE$36</c:f>
              <c:numCache>
                <c:formatCode>0.0</c:formatCode>
                <c:ptCount val="24"/>
                <c:pt idx="0">
                  <c:v>48.703364981190425</c:v>
                </c:pt>
                <c:pt idx="1">
                  <c:v>110.24660036159707</c:v>
                </c:pt>
                <c:pt idx="2">
                  <c:v>75434.782608695648</c:v>
                </c:pt>
                <c:pt idx="3">
                  <c:v>0</c:v>
                </c:pt>
                <c:pt idx="4">
                  <c:v>311.19167340449837</c:v>
                </c:pt>
                <c:pt idx="5">
                  <c:v>234.88967682539939</c:v>
                </c:pt>
                <c:pt idx="6">
                  <c:v>45.470852017937219</c:v>
                </c:pt>
                <c:pt idx="7">
                  <c:v>152.72088940901111</c:v>
                </c:pt>
                <c:pt idx="8">
                  <c:v>0</c:v>
                </c:pt>
                <c:pt idx="9">
                  <c:v>0</c:v>
                </c:pt>
                <c:pt idx="10">
                  <c:v>45.780969479353679</c:v>
                </c:pt>
                <c:pt idx="11">
                  <c:v>42.346713718570797</c:v>
                </c:pt>
                <c:pt idx="12">
                  <c:v>18.478975032851512</c:v>
                </c:pt>
                <c:pt idx="13">
                  <c:v>10.559260913348949</c:v>
                </c:pt>
                <c:pt idx="14">
                  <c:v>0</c:v>
                </c:pt>
                <c:pt idx="15">
                  <c:v>73.313892845528457</c:v>
                </c:pt>
                <c:pt idx="16">
                  <c:v>32.205745785714285</c:v>
                </c:pt>
                <c:pt idx="17">
                  <c:v>0</c:v>
                </c:pt>
                <c:pt idx="18">
                  <c:v>11.374483852499999</c:v>
                </c:pt>
                <c:pt idx="19">
                  <c:v>288.56348223999998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Inapa!$C$38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D7-4125-8702-FE7AF758CAD2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7-4125-8702-FE7AF758C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Inapa!$H$38:$AE$38</c:f>
              <c:numCache>
                <c:formatCode>0%</c:formatCode>
                <c:ptCount val="24"/>
                <c:pt idx="0">
                  <c:v>0.13122586401334671</c:v>
                </c:pt>
                <c:pt idx="1">
                  <c:v>8.5663607309008113E-2</c:v>
                </c:pt>
                <c:pt idx="2">
                  <c:v>0.14696289988044839</c:v>
                </c:pt>
                <c:pt idx="3">
                  <c:v>6.8054688711623956E-2</c:v>
                </c:pt>
                <c:pt idx="4">
                  <c:v>9.1624537307617382E-2</c:v>
                </c:pt>
                <c:pt idx="5">
                  <c:v>8.7382429009942642E-2</c:v>
                </c:pt>
                <c:pt idx="6">
                  <c:v>0.25539005524861874</c:v>
                </c:pt>
                <c:pt idx="7">
                  <c:v>0.24069738230417526</c:v>
                </c:pt>
                <c:pt idx="8">
                  <c:v>0.29131634116738392</c:v>
                </c:pt>
                <c:pt idx="9">
                  <c:v>0.19816231324390191</c:v>
                </c:pt>
                <c:pt idx="10">
                  <c:v>0.22358280869414754</c:v>
                </c:pt>
                <c:pt idx="11">
                  <c:v>0.15541439687440592</c:v>
                </c:pt>
                <c:pt idx="12">
                  <c:v>0.15705735628366188</c:v>
                </c:pt>
                <c:pt idx="13">
                  <c:v>8.535625375146369E-2</c:v>
                </c:pt>
                <c:pt idx="14">
                  <c:v>6.1995844536788074E-2</c:v>
                </c:pt>
                <c:pt idx="15">
                  <c:v>8.6640290107758727E-2</c:v>
                </c:pt>
                <c:pt idx="16">
                  <c:v>9.5062992290495793E-2</c:v>
                </c:pt>
                <c:pt idx="17">
                  <c:v>8.9168165915730832E-2</c:v>
                </c:pt>
                <c:pt idx="18">
                  <c:v>0.11378083567483253</c:v>
                </c:pt>
                <c:pt idx="19">
                  <c:v>7.2746475837392771E-2</c:v>
                </c:pt>
                <c:pt idx="20">
                  <c:v>5.8954393770856504E-2</c:v>
                </c:pt>
                <c:pt idx="21">
                  <c:v>6.22478386167147E-2</c:v>
                </c:pt>
                <c:pt idx="22">
                  <c:v>-1.7475728155339806E-2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Inapa!$C$39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7-4125-8702-FE7AF758CAD2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7-4125-8702-FE7AF758C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Inapa!$H$39:$AE$39</c:f>
              <c:numCache>
                <c:formatCode>0%</c:formatCode>
                <c:ptCount val="24"/>
                <c:pt idx="0">
                  <c:v>9.8985499655098119E-2</c:v>
                </c:pt>
                <c:pt idx="1">
                  <c:v>4.2688854083289894E-2</c:v>
                </c:pt>
                <c:pt idx="2">
                  <c:v>4.2716896123466443E-5</c:v>
                </c:pt>
                <c:pt idx="3">
                  <c:v>-5.1676588602240968E-2</c:v>
                </c:pt>
                <c:pt idx="4">
                  <c:v>9.1558072764465221E-3</c:v>
                </c:pt>
                <c:pt idx="5">
                  <c:v>9.8297669610975386E-3</c:v>
                </c:pt>
                <c:pt idx="6">
                  <c:v>4.9281767955801109E-2</c:v>
                </c:pt>
                <c:pt idx="7">
                  <c:v>1.7173290458724816E-2</c:v>
                </c:pt>
                <c:pt idx="8">
                  <c:v>-1.1709588436500056</c:v>
                </c:pt>
                <c:pt idx="9">
                  <c:v>-6.9240688356141264E-2</c:v>
                </c:pt>
                <c:pt idx="10">
                  <c:v>7.4137173736540185E-3</c:v>
                </c:pt>
                <c:pt idx="11">
                  <c:v>1.4860993660970061E-2</c:v>
                </c:pt>
                <c:pt idx="12">
                  <c:v>1.9824290617327368E-2</c:v>
                </c:pt>
                <c:pt idx="13">
                  <c:v>2.9411475296919128E-2</c:v>
                </c:pt>
                <c:pt idx="14">
                  <c:v>-2.9383606290230586E-2</c:v>
                </c:pt>
                <c:pt idx="15">
                  <c:v>6.9792993876993071E-3</c:v>
                </c:pt>
                <c:pt idx="16">
                  <c:v>1.0968806802749516E-2</c:v>
                </c:pt>
                <c:pt idx="17">
                  <c:v>-2.0980744921348434E-3</c:v>
                </c:pt>
                <c:pt idx="18">
                  <c:v>2.3504022392923155E-2</c:v>
                </c:pt>
                <c:pt idx="19">
                  <c:v>1.0777255679613744E-3</c:v>
                </c:pt>
                <c:pt idx="20">
                  <c:v>-2.0022246941045607E-2</c:v>
                </c:pt>
                <c:pt idx="21">
                  <c:v>-2.3631123919308356E-2</c:v>
                </c:pt>
                <c:pt idx="22">
                  <c:v>-0.10032362459546926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Inapa!$C$37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Inapa!$H$37:$AE$37</c:f>
              <c:numCache>
                <c:formatCode>0.0</c:formatCode>
                <c:ptCount val="24"/>
                <c:pt idx="0">
                  <c:v>4.8209269175477427</c:v>
                </c:pt>
                <c:pt idx="1">
                  <c:v>4.7063010360149917</c:v>
                </c:pt>
                <c:pt idx="2">
                  <c:v>3.222339772791925</c:v>
                </c:pt>
                <c:pt idx="3">
                  <c:v>2.8818121152573801</c:v>
                </c:pt>
                <c:pt idx="4">
                  <c:v>2.849210987726476</c:v>
                </c:pt>
                <c:pt idx="5">
                  <c:v>2.3089107847611889</c:v>
                </c:pt>
                <c:pt idx="6">
                  <c:v>2.2408839779005523</c:v>
                </c:pt>
                <c:pt idx="7">
                  <c:v>2.6227201929357382</c:v>
                </c:pt>
                <c:pt idx="8">
                  <c:v>5.428666004634227</c:v>
                </c:pt>
                <c:pt idx="9">
                  <c:v>0.93167072866102707</c:v>
                </c:pt>
                <c:pt idx="10">
                  <c:v>0.33940716881180877</c:v>
                </c:pt>
                <c:pt idx="11">
                  <c:v>0.62931424413459458</c:v>
                </c:pt>
                <c:pt idx="12">
                  <c:v>0.36633257136158487</c:v>
                </c:pt>
                <c:pt idx="13">
                  <c:v>0.3105634415066863</c:v>
                </c:pt>
                <c:pt idx="14">
                  <c:v>0.27553192434612561</c:v>
                </c:pt>
                <c:pt idx="15">
                  <c:v>0.51167960744664931</c:v>
                </c:pt>
                <c:pt idx="16">
                  <c:v>0.35325860346196436</c:v>
                </c:pt>
                <c:pt idx="17">
                  <c:v>0.2483199474694599</c:v>
                </c:pt>
                <c:pt idx="18">
                  <c:v>0.26734612317710282</c:v>
                </c:pt>
                <c:pt idx="19">
                  <c:v>0.31099224279001597</c:v>
                </c:pt>
                <c:pt idx="20">
                  <c:v>0.16049136943270301</c:v>
                </c:pt>
                <c:pt idx="21">
                  <c:v>0.10654811574063401</c:v>
                </c:pt>
                <c:pt idx="22">
                  <c:v>0.11498180825501618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Inapa!$C$41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Inapa!$H$41:$AE$41</c:f>
              <c:numCache>
                <c:formatCode>0.0</c:formatCode>
                <c:ptCount val="24"/>
                <c:pt idx="0">
                  <c:v>0.54751547467964434</c:v>
                </c:pt>
                <c:pt idx="1">
                  <c:v>0.87312349719800952</c:v>
                </c:pt>
                <c:pt idx="2">
                  <c:v>1.1154275700211425</c:v>
                </c:pt>
                <c:pt idx="3">
                  <c:v>1.2126623181529086</c:v>
                </c:pt>
                <c:pt idx="4">
                  <c:v>72.992414817130211</c:v>
                </c:pt>
                <c:pt idx="5">
                  <c:v>1.0398850248977776</c:v>
                </c:pt>
                <c:pt idx="6">
                  <c:v>0.73860845839017741</c:v>
                </c:pt>
                <c:pt idx="7">
                  <c:v>2.2805443170807962</c:v>
                </c:pt>
                <c:pt idx="8">
                  <c:v>2.1628491489233528</c:v>
                </c:pt>
                <c:pt idx="9">
                  <c:v>0.98675331556719192</c:v>
                </c:pt>
                <c:pt idx="10">
                  <c:v>1.070243666045765</c:v>
                </c:pt>
                <c:pt idx="11">
                  <c:v>0.71431665218887386</c:v>
                </c:pt>
                <c:pt idx="12">
                  <c:v>0.9548618566020679</c:v>
                </c:pt>
                <c:pt idx="13">
                  <c:v>1.1266225814352193</c:v>
                </c:pt>
                <c:pt idx="14">
                  <c:v>0.90704101990170793</c:v>
                </c:pt>
                <c:pt idx="15">
                  <c:v>0.94774553687157603</c:v>
                </c:pt>
                <c:pt idx="16">
                  <c:v>1.1496692439862541</c:v>
                </c:pt>
                <c:pt idx="17">
                  <c:v>1.2589003944773176</c:v>
                </c:pt>
                <c:pt idx="18">
                  <c:v>1.2847796610169493</c:v>
                </c:pt>
                <c:pt idx="19">
                  <c:v>1.4185376580538755</c:v>
                </c:pt>
                <c:pt idx="20">
                  <c:v>1.4157029823493608</c:v>
                </c:pt>
                <c:pt idx="21">
                  <c:v>1.0636826783114992</c:v>
                </c:pt>
                <c:pt idx="22">
                  <c:v>0.85341660543717868</c:v>
                </c:pt>
                <c:pt idx="23">
                  <c:v>0.83218842001962712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Inapa!$C$45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Inapa!$H$45:$AE$45</c:f>
              <c:numCache>
                <c:formatCode>0.0</c:formatCode>
                <c:ptCount val="24"/>
                <c:pt idx="0">
                  <c:v>3.4579229906942404</c:v>
                </c:pt>
                <c:pt idx="1">
                  <c:v>4.2264744366428761</c:v>
                </c:pt>
                <c:pt idx="2">
                  <c:v>4.0700576907159283</c:v>
                </c:pt>
                <c:pt idx="3">
                  <c:v>4.2642759506684111</c:v>
                </c:pt>
                <c:pt idx="4">
                  <c:v>5.7943697642704075</c:v>
                </c:pt>
                <c:pt idx="5">
                  <c:v>6.0741715216438017</c:v>
                </c:pt>
                <c:pt idx="6">
                  <c:v>5.2528411049723758</c:v>
                </c:pt>
                <c:pt idx="7">
                  <c:v>6.4031352057478772</c:v>
                </c:pt>
                <c:pt idx="8">
                  <c:v>16.350877192982459</c:v>
                </c:pt>
                <c:pt idx="9">
                  <c:v>4.7523713720539282</c:v>
                </c:pt>
                <c:pt idx="10">
                  <c:v>4.0765396440883253</c:v>
                </c:pt>
                <c:pt idx="11">
                  <c:v>3.5885333700433315</c:v>
                </c:pt>
                <c:pt idx="12">
                  <c:v>3.773596702029971</c:v>
                </c:pt>
                <c:pt idx="13">
                  <c:v>2.389488029755872</c:v>
                </c:pt>
                <c:pt idx="14">
                  <c:v>2.4488307667237024</c:v>
                </c:pt>
                <c:pt idx="15">
                  <c:v>2.4891286966300248</c:v>
                </c:pt>
                <c:pt idx="16">
                  <c:v>2.4715176650021937</c:v>
                </c:pt>
                <c:pt idx="17">
                  <c:v>2.5271307257764186</c:v>
                </c:pt>
                <c:pt idx="18">
                  <c:v>2.6345872373158405</c:v>
                </c:pt>
                <c:pt idx="19">
                  <c:v>2.6140233650903135</c:v>
                </c:pt>
                <c:pt idx="20">
                  <c:v>2.5456062291434924</c:v>
                </c:pt>
                <c:pt idx="21">
                  <c:v>3.5752161383285301</c:v>
                </c:pt>
                <c:pt idx="22">
                  <c:v>3.7074433656957928</c:v>
                </c:pt>
                <c:pt idx="23">
                  <c:v>3.91468253968254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'Jerónimo Martins'!$C$26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1.8567251461988304E-3"/>
                  <c:y val="-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F4-434A-ACFB-F735B7CA436D}"/>
                </c:ext>
              </c:extLst>
            </c:dLbl>
            <c:dLbl>
              <c:idx val="14"/>
              <c:layout>
                <c:manualLayout>
                  <c:x val="-3.7134502923977289E-3"/>
                  <c:y val="-4.5861111111111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F4-434A-ACFB-F735B7CA436D}"/>
                </c:ext>
              </c:extLst>
            </c:dLbl>
            <c:dLbl>
              <c:idx val="21"/>
              <c:layout>
                <c:manualLayout>
                  <c:x val="0"/>
                  <c:y val="-6.702777777777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F4-434A-ACFB-F735B7CA436D}"/>
                </c:ext>
              </c:extLst>
            </c:dLbl>
            <c:dLbl>
              <c:idx val="22"/>
              <c:layout>
                <c:manualLayout>
                  <c:x val="1.8567251461986943E-3"/>
                  <c:y val="-1.411111111111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F4-434A-ACFB-F735B7CA436D}"/>
                </c:ext>
              </c:extLst>
            </c:dLbl>
            <c:dLbl>
              <c:idx val="23"/>
              <c:layout>
                <c:manualLayout>
                  <c:x val="0"/>
                  <c:y val="-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F4-434A-ACFB-F735B7CA436D}"/>
                </c:ext>
              </c:extLst>
            </c:dLbl>
            <c:dLbl>
              <c:idx val="24"/>
              <c:layout>
                <c:manualLayout>
                  <c:x val="1.8567251461988304E-3"/>
                  <c:y val="-9.8777777777777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F4-434A-ACFB-F735B7CA43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'Jerónimo Martins'!$H$26:$AF$26</c:f>
              <c:numCache>
                <c:formatCode>#,##0</c:formatCode>
                <c:ptCount val="25"/>
                <c:pt idx="0">
                  <c:v>3135.3999999999996</c:v>
                </c:pt>
                <c:pt idx="1">
                  <c:v>2362.0499999999997</c:v>
                </c:pt>
                <c:pt idx="2">
                  <c:v>1009.56</c:v>
                </c:pt>
                <c:pt idx="3">
                  <c:v>856.36</c:v>
                </c:pt>
                <c:pt idx="4">
                  <c:v>644.98</c:v>
                </c:pt>
                <c:pt idx="5">
                  <c:v>970.18000000000006</c:v>
                </c:pt>
                <c:pt idx="6">
                  <c:v>1180.6399999999999</c:v>
                </c:pt>
                <c:pt idx="7">
                  <c:v>1544.8799999999999</c:v>
                </c:pt>
                <c:pt idx="8">
                  <c:v>2072.4</c:v>
                </c:pt>
                <c:pt idx="9">
                  <c:v>3284.44</c:v>
                </c:pt>
                <c:pt idx="10">
                  <c:v>2417.8000000000002</c:v>
                </c:pt>
                <c:pt idx="11">
                  <c:v>4251.5599999999995</c:v>
                </c:pt>
                <c:pt idx="12">
                  <c:v>6939.4000000000005</c:v>
                </c:pt>
                <c:pt idx="13">
                  <c:v>7787.2</c:v>
                </c:pt>
                <c:pt idx="14">
                  <c:v>8886.2000000000007</c:v>
                </c:pt>
                <c:pt idx="15">
                  <c:v>8653.84</c:v>
                </c:pt>
                <c:pt idx="16">
                  <c:v>5074.24</c:v>
                </c:pt>
                <c:pt idx="17">
                  <c:v>7536</c:v>
                </c:pt>
                <c:pt idx="18">
                  <c:v>9263.1204027999993</c:v>
                </c:pt>
                <c:pt idx="19">
                  <c:v>10173.6</c:v>
                </c:pt>
                <c:pt idx="20">
                  <c:v>6498.1730000000007</c:v>
                </c:pt>
                <c:pt idx="21">
                  <c:v>9227.9512500000001</c:v>
                </c:pt>
                <c:pt idx="22">
                  <c:v>8696.2350000000006</c:v>
                </c:pt>
                <c:pt idx="23">
                  <c:v>12632.85</c:v>
                </c:pt>
                <c:pt idx="24">
                  <c:v>12334.3125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'Jerónimo Martins'!$C$5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F4-434A-ACFB-F735B7CA436D}"/>
                </c:ext>
              </c:extLst>
            </c:dLbl>
            <c:dLbl>
              <c:idx val="2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F4-434A-ACFB-F735B7CA43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Martins'!$H$5:$AF$5</c:f>
              <c:numCache>
                <c:formatCode>#,##0</c:formatCode>
                <c:ptCount val="25"/>
                <c:pt idx="0">
                  <c:v>514</c:v>
                </c:pt>
                <c:pt idx="1">
                  <c:v>543</c:v>
                </c:pt>
                <c:pt idx="2">
                  <c:v>537</c:v>
                </c:pt>
                <c:pt idx="3">
                  <c:v>542</c:v>
                </c:pt>
                <c:pt idx="4">
                  <c:v>542</c:v>
                </c:pt>
                <c:pt idx="5">
                  <c:v>542</c:v>
                </c:pt>
                <c:pt idx="6">
                  <c:v>628</c:v>
                </c:pt>
                <c:pt idx="7">
                  <c:v>628</c:v>
                </c:pt>
                <c:pt idx="8">
                  <c:v>628</c:v>
                </c:pt>
                <c:pt idx="9">
                  <c:v>628</c:v>
                </c:pt>
                <c:pt idx="10">
                  <c:v>628</c:v>
                </c:pt>
                <c:pt idx="11">
                  <c:v>628</c:v>
                </c:pt>
                <c:pt idx="12">
                  <c:v>628</c:v>
                </c:pt>
                <c:pt idx="13">
                  <c:v>628</c:v>
                </c:pt>
                <c:pt idx="14">
                  <c:v>628</c:v>
                </c:pt>
                <c:pt idx="15">
                  <c:v>628</c:v>
                </c:pt>
                <c:pt idx="16">
                  <c:v>628</c:v>
                </c:pt>
                <c:pt idx="17">
                  <c:v>628</c:v>
                </c:pt>
                <c:pt idx="18">
                  <c:v>628.43421999999998</c:v>
                </c:pt>
                <c:pt idx="19">
                  <c:v>628</c:v>
                </c:pt>
                <c:pt idx="20">
                  <c:v>628.45000000000005</c:v>
                </c:pt>
                <c:pt idx="21">
                  <c:v>629.25</c:v>
                </c:pt>
                <c:pt idx="22">
                  <c:v>629.25</c:v>
                </c:pt>
                <c:pt idx="23">
                  <c:v>628.5</c:v>
                </c:pt>
                <c:pt idx="24">
                  <c:v>628.5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'Jerónimo Martins'!$C$6</c:f>
              <c:strCache>
                <c:ptCount val="1"/>
                <c:pt idx="0">
                  <c:v>Vendas Anuais Jerónimo Martins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1.6364938120077742E-2"/>
                  <c:y val="-4.2333258008263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5-4702-89D7-F7130305E78B}"/>
                </c:ext>
              </c:extLst>
            </c:dLbl>
            <c:dLbl>
              <c:idx val="3"/>
              <c:layout>
                <c:manualLayout>
                  <c:x val="-1.0417024045667198E-2"/>
                  <c:y val="-2.7647143261177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45-4702-89D7-F7130305E78B}"/>
                </c:ext>
              </c:extLst>
            </c:dLbl>
            <c:dLbl>
              <c:idx val="5"/>
              <c:layout>
                <c:manualLayout>
                  <c:x val="1.8566795443911027E-3"/>
                  <c:y val="-4.4629109302361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5-4702-89D7-F7130305E78B}"/>
                </c:ext>
              </c:extLst>
            </c:dLbl>
            <c:dLbl>
              <c:idx val="6"/>
              <c:layout>
                <c:manualLayout>
                  <c:x val="1.8567251461988304E-3"/>
                  <c:y val="-1.058333333333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5-4702-89D7-F7130305E78B}"/>
                </c:ext>
              </c:extLst>
            </c:dLbl>
            <c:dLbl>
              <c:idx val="7"/>
              <c:layout>
                <c:manualLayout>
                  <c:x val="0"/>
                  <c:y val="-4.5861111111111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F5-4130-A1FE-A22DA218334F}"/>
                </c:ext>
              </c:extLst>
            </c:dLbl>
            <c:dLbl>
              <c:idx val="9"/>
              <c:layout>
                <c:manualLayout>
                  <c:x val="-1.2273703590058299E-2"/>
                  <c:y val="-2.8879347713315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D-4984-B586-84CFE274B001}"/>
                </c:ext>
              </c:extLst>
            </c:dLbl>
            <c:dLbl>
              <c:idx val="10"/>
              <c:layout>
                <c:manualLayout>
                  <c:x val="-1.4319320855068016E-2"/>
                  <c:y val="-1.443967385665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D-4984-B586-84CFE274B001}"/>
                </c:ext>
              </c:extLst>
            </c:dLbl>
            <c:dLbl>
              <c:idx val="11"/>
              <c:layout>
                <c:manualLayout>
                  <c:x val="-1.6176000399459118E-2"/>
                  <c:y val="-2.838646593246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5-4130-A1FE-A22DA218334F}"/>
                </c:ext>
              </c:extLst>
            </c:dLbl>
            <c:dLbl>
              <c:idx val="12"/>
              <c:layout>
                <c:manualLayout>
                  <c:x val="-1.841055538508745E-2"/>
                  <c:y val="-1.4275379929706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5-4130-A1FE-A22DA218334F}"/>
                </c:ext>
              </c:extLst>
            </c:dLbl>
            <c:dLbl>
              <c:idx val="13"/>
              <c:layout>
                <c:manualLayout>
                  <c:x val="-3.6821110770174977E-2"/>
                  <c:y val="-2.165951078498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D-4984-B586-84CFE274B001}"/>
                </c:ext>
              </c:extLst>
            </c:dLbl>
            <c:dLbl>
              <c:idx val="14"/>
              <c:layout>
                <c:manualLayout>
                  <c:x val="-3.68211107701749E-2"/>
                  <c:y val="-2.5269429249151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D-4984-B586-84CFE274B001}"/>
                </c:ext>
              </c:extLst>
            </c:dLbl>
            <c:dLbl>
              <c:idx val="15"/>
              <c:layout>
                <c:manualLayout>
                  <c:x val="-3.4775493505165185E-2"/>
                  <c:y val="-2.165951078498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D-4984-B586-84CFE274B001}"/>
                </c:ext>
              </c:extLst>
            </c:dLbl>
            <c:dLbl>
              <c:idx val="16"/>
              <c:layout>
                <c:manualLayout>
                  <c:x val="-3.4775493505165185E-2"/>
                  <c:y val="-2.16595107849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D-4984-B586-84CFE274B001}"/>
                </c:ext>
              </c:extLst>
            </c:dLbl>
            <c:dLbl>
              <c:idx val="17"/>
              <c:layout>
                <c:manualLayout>
                  <c:x val="-3.0684258975145824E-2"/>
                  <c:y val="-2.5269429249151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D-4984-B586-84CFE274B001}"/>
                </c:ext>
              </c:extLst>
            </c:dLbl>
            <c:dLbl>
              <c:idx val="18"/>
              <c:layout>
                <c:manualLayout>
                  <c:x val="-2.8638641710136033E-2"/>
                  <c:y val="-2.165951078498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D-4984-B586-84CFE274B001}"/>
                </c:ext>
              </c:extLst>
            </c:dLbl>
            <c:dLbl>
              <c:idx val="19"/>
              <c:layout>
                <c:manualLayout>
                  <c:x val="-2.6593024445126318E-2"/>
                  <c:y val="-1.0829755392493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D-4984-B586-84CFE274B001}"/>
                </c:ext>
              </c:extLst>
            </c:dLbl>
            <c:dLbl>
              <c:idx val="20"/>
              <c:layout>
                <c:manualLayout>
                  <c:x val="-5.523166615526235E-2"/>
                  <c:y val="-2.8879347713315656E-2"/>
                </c:manualLayout>
              </c:layout>
              <c:spPr>
                <a:solidFill>
                  <a:srgbClr val="00FF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D-4984-B586-84CFE274B001}"/>
                </c:ext>
              </c:extLst>
            </c:dLbl>
            <c:dLbl>
              <c:idx val="21"/>
              <c:layout>
                <c:manualLayout>
                  <c:x val="-3.0684258975145751E-2"/>
                  <c:y val="-2.165951078498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D-4984-B586-84CFE274B001}"/>
                </c:ext>
              </c:extLst>
            </c:dLbl>
            <c:dLbl>
              <c:idx val="22"/>
              <c:layout>
                <c:manualLayout>
                  <c:x val="-2.6593024445126467E-2"/>
                  <c:y val="-2.165951078498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D-4984-B586-84CFE274B001}"/>
                </c:ext>
              </c:extLst>
            </c:dLbl>
            <c:dLbl>
              <c:idx val="23"/>
              <c:layout>
                <c:manualLayout>
                  <c:x val="-1.841055538508745E-2"/>
                  <c:y val="-2.1659510784986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D-4984-B586-84CFE274B001}"/>
                </c:ext>
              </c:extLst>
            </c:dLbl>
            <c:dLbl>
              <c:idx val="24"/>
              <c:layout>
                <c:manualLayout>
                  <c:x val="-2.0456172650098665E-3"/>
                  <c:y val="-2.165951078498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9D-4984-B586-84CFE274B0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Martins'!$H$6:$AF$6</c:f>
              <c:numCache>
                <c:formatCode>#,##0</c:formatCode>
                <c:ptCount val="25"/>
                <c:pt idx="0">
                  <c:v>2991</c:v>
                </c:pt>
                <c:pt idx="1">
                  <c:v>3280</c:v>
                </c:pt>
                <c:pt idx="2">
                  <c:v>3915</c:v>
                </c:pt>
                <c:pt idx="3">
                  <c:v>4200</c:v>
                </c:pt>
                <c:pt idx="4">
                  <c:v>3892</c:v>
                </c:pt>
                <c:pt idx="5">
                  <c:v>3417</c:v>
                </c:pt>
                <c:pt idx="6">
                  <c:v>3495</c:v>
                </c:pt>
                <c:pt idx="7">
                  <c:v>3828</c:v>
                </c:pt>
                <c:pt idx="8">
                  <c:v>4407</c:v>
                </c:pt>
                <c:pt idx="9">
                  <c:v>5350</c:v>
                </c:pt>
                <c:pt idx="10">
                  <c:v>6890</c:v>
                </c:pt>
                <c:pt idx="11">
                  <c:v>7317.1</c:v>
                </c:pt>
                <c:pt idx="12">
                  <c:v>8691</c:v>
                </c:pt>
                <c:pt idx="13">
                  <c:v>9838</c:v>
                </c:pt>
                <c:pt idx="14">
                  <c:v>10683</c:v>
                </c:pt>
                <c:pt idx="15">
                  <c:v>11829</c:v>
                </c:pt>
                <c:pt idx="16">
                  <c:v>12680</c:v>
                </c:pt>
                <c:pt idx="17">
                  <c:v>13728</c:v>
                </c:pt>
                <c:pt idx="18">
                  <c:v>14622</c:v>
                </c:pt>
                <c:pt idx="19">
                  <c:v>16276</c:v>
                </c:pt>
                <c:pt idx="20">
                  <c:v>17337</c:v>
                </c:pt>
                <c:pt idx="21">
                  <c:v>18638</c:v>
                </c:pt>
                <c:pt idx="22">
                  <c:v>19293</c:v>
                </c:pt>
                <c:pt idx="23">
                  <c:v>20816</c:v>
                </c:pt>
                <c:pt idx="24">
                  <c:v>22410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'Jerónimo Martins'!$C$7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Martins'!$H$7:$AF$7</c:f>
              <c:numCache>
                <c:formatCode>#,##0</c:formatCode>
                <c:ptCount val="25"/>
                <c:pt idx="0">
                  <c:v>249.1</c:v>
                </c:pt>
                <c:pt idx="1">
                  <c:v>278.45699999999999</c:v>
                </c:pt>
                <c:pt idx="2">
                  <c:v>194.126</c:v>
                </c:pt>
                <c:pt idx="3">
                  <c:v>260</c:v>
                </c:pt>
                <c:pt idx="4">
                  <c:v>264</c:v>
                </c:pt>
                <c:pt idx="5">
                  <c:v>290</c:v>
                </c:pt>
                <c:pt idx="6">
                  <c:v>305</c:v>
                </c:pt>
                <c:pt idx="7">
                  <c:v>308</c:v>
                </c:pt>
                <c:pt idx="8">
                  <c:v>318.78199999999998</c:v>
                </c:pt>
                <c:pt idx="9">
                  <c:v>351.43</c:v>
                </c:pt>
                <c:pt idx="10">
                  <c:v>472.97399999999999</c:v>
                </c:pt>
                <c:pt idx="11">
                  <c:v>528.048</c:v>
                </c:pt>
                <c:pt idx="12">
                  <c:v>624</c:v>
                </c:pt>
                <c:pt idx="13">
                  <c:v>693</c:v>
                </c:pt>
                <c:pt idx="14">
                  <c:v>740</c:v>
                </c:pt>
                <c:pt idx="15">
                  <c:v>777</c:v>
                </c:pt>
                <c:pt idx="16">
                  <c:v>733</c:v>
                </c:pt>
                <c:pt idx="17">
                  <c:v>800</c:v>
                </c:pt>
                <c:pt idx="18">
                  <c:v>862</c:v>
                </c:pt>
                <c:pt idx="19">
                  <c:v>922</c:v>
                </c:pt>
                <c:pt idx="20">
                  <c:v>960</c:v>
                </c:pt>
                <c:pt idx="21">
                  <c:v>1045</c:v>
                </c:pt>
                <c:pt idx="22">
                  <c:v>1373</c:v>
                </c:pt>
                <c:pt idx="23">
                  <c:v>1539</c:v>
                </c:pt>
                <c:pt idx="24">
                  <c:v>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'Jerónimo Martins'!$C$28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'Jerónimo Martins'!$H$28:$AF$28</c:f>
              <c:numCache>
                <c:formatCode>0.0</c:formatCode>
                <c:ptCount val="25"/>
                <c:pt idx="0">
                  <c:v>12.586912886391007</c:v>
                </c:pt>
                <c:pt idx="1">
                  <c:v>8.4826382529439002</c:v>
                </c:pt>
                <c:pt idx="2">
                  <c:v>5.2005398555577305</c:v>
                </c:pt>
                <c:pt idx="3">
                  <c:v>3.2936923076923077</c:v>
                </c:pt>
                <c:pt idx="4">
                  <c:v>2.4431060606060608</c:v>
                </c:pt>
                <c:pt idx="5">
                  <c:v>3.3454482758620694</c:v>
                </c:pt>
                <c:pt idx="6">
                  <c:v>3.8709508196721307</c:v>
                </c:pt>
                <c:pt idx="7">
                  <c:v>5.0158441558441558</c:v>
                </c:pt>
                <c:pt idx="8">
                  <c:v>6.50099440997296</c:v>
                </c:pt>
                <c:pt idx="9">
                  <c:v>9.345929488091512</c:v>
                </c:pt>
                <c:pt idx="10">
                  <c:v>5.1119088998549609</c:v>
                </c:pt>
                <c:pt idx="11">
                  <c:v>8.0514650183316654</c:v>
                </c:pt>
                <c:pt idx="12">
                  <c:v>11.120833333333334</c:v>
                </c:pt>
                <c:pt idx="13">
                  <c:v>11.236940836940837</c:v>
                </c:pt>
                <c:pt idx="14">
                  <c:v>12.00837837837838</c:v>
                </c:pt>
                <c:pt idx="15">
                  <c:v>11.137503217503218</c:v>
                </c:pt>
                <c:pt idx="16">
                  <c:v>6.9225648021828103</c:v>
                </c:pt>
                <c:pt idx="17">
                  <c:v>9.42</c:v>
                </c:pt>
                <c:pt idx="18">
                  <c:v>10.746079353596286</c:v>
                </c:pt>
                <c:pt idx="19">
                  <c:v>11.034273318872017</c:v>
                </c:pt>
                <c:pt idx="20">
                  <c:v>6.7689302083333338</c:v>
                </c:pt>
                <c:pt idx="21">
                  <c:v>8.8305753588516751</c:v>
                </c:pt>
                <c:pt idx="22">
                  <c:v>6.3337472687545526</c:v>
                </c:pt>
                <c:pt idx="23">
                  <c:v>8.2084795321637429</c:v>
                </c:pt>
                <c:pt idx="24">
                  <c:v>7.3287655971479504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'Jerónimo Martins'!$C$32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D-4329-A8C1-57B3213F2FAA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D-4329-A8C1-57B3213F2F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Martins'!$H$32:$AF$32</c:f>
              <c:numCache>
                <c:formatCode>0.0%</c:formatCode>
                <c:ptCount val="25"/>
                <c:pt idx="0">
                  <c:v>8.3283182881979265E-2</c:v>
                </c:pt>
                <c:pt idx="1">
                  <c:v>8.4895426829268289E-2</c:v>
                </c:pt>
                <c:pt idx="2">
                  <c:v>4.9585185185185184E-2</c:v>
                </c:pt>
                <c:pt idx="3">
                  <c:v>6.1904761904761907E-2</c:v>
                </c:pt>
                <c:pt idx="4">
                  <c:v>6.783144912641316E-2</c:v>
                </c:pt>
                <c:pt idx="5">
                  <c:v>8.4869768803043602E-2</c:v>
                </c:pt>
                <c:pt idx="6">
                  <c:v>8.7267525035765375E-2</c:v>
                </c:pt>
                <c:pt idx="7">
                  <c:v>8.0459770114942528E-2</c:v>
                </c:pt>
                <c:pt idx="8">
                  <c:v>7.2335375538915364E-2</c:v>
                </c:pt>
                <c:pt idx="9">
                  <c:v>6.5687850467289727E-2</c:v>
                </c:pt>
                <c:pt idx="10">
                  <c:v>6.8646444121915812E-2</c:v>
                </c:pt>
                <c:pt idx="11">
                  <c:v>7.2166295390250226E-2</c:v>
                </c:pt>
                <c:pt idx="12">
                  <c:v>7.1798412150500521E-2</c:v>
                </c:pt>
                <c:pt idx="13">
                  <c:v>7.0441146574507008E-2</c:v>
                </c:pt>
                <c:pt idx="14">
                  <c:v>6.9268931947954693E-2</c:v>
                </c:pt>
                <c:pt idx="15">
                  <c:v>6.5686025868627942E-2</c:v>
                </c:pt>
                <c:pt idx="16">
                  <c:v>5.7807570977917978E-2</c:v>
                </c:pt>
                <c:pt idx="17">
                  <c:v>5.8275058275058272E-2</c:v>
                </c:pt>
                <c:pt idx="18">
                  <c:v>5.8952263712214473E-2</c:v>
                </c:pt>
                <c:pt idx="19">
                  <c:v>5.6647825018432046E-2</c:v>
                </c:pt>
                <c:pt idx="20">
                  <c:v>5.537290188613947E-2</c:v>
                </c:pt>
                <c:pt idx="21">
                  <c:v>5.6068247666058592E-2</c:v>
                </c:pt>
                <c:pt idx="22">
                  <c:v>7.1165707769657388E-2</c:v>
                </c:pt>
                <c:pt idx="23">
                  <c:v>7.3933512682551883E-2</c:v>
                </c:pt>
                <c:pt idx="24">
                  <c:v>7.5100401606425699E-2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'Jerónimo Martins'!$C$33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D-4329-A8C1-57B3213F2FAA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D-4329-A8C1-57B3213F2F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Martins'!$H$33:$AF$33</c:f>
              <c:numCache>
                <c:formatCode>0.0%</c:formatCode>
                <c:ptCount val="25"/>
                <c:pt idx="0">
                  <c:v>4.6768973587428951E-2</c:v>
                </c:pt>
                <c:pt idx="1">
                  <c:v>4.4899390243902444E-2</c:v>
                </c:pt>
                <c:pt idx="2">
                  <c:v>1.0315964240102171E-2</c:v>
                </c:pt>
                <c:pt idx="3">
                  <c:v>2.0238095238095239E-2</c:v>
                </c:pt>
                <c:pt idx="4">
                  <c:v>2.9547790339157245E-2</c:v>
                </c:pt>
                <c:pt idx="5">
                  <c:v>4.8287971905179985E-2</c:v>
                </c:pt>
                <c:pt idx="6">
                  <c:v>5.951359084406295E-2</c:v>
                </c:pt>
                <c:pt idx="7">
                  <c:v>5.459770114942529E-2</c:v>
                </c:pt>
                <c:pt idx="8">
                  <c:v>4.804946675743136E-2</c:v>
                </c:pt>
                <c:pt idx="9">
                  <c:v>4.2001495327102803E-2</c:v>
                </c:pt>
                <c:pt idx="10">
                  <c:v>4.5775181422351235E-2</c:v>
                </c:pt>
                <c:pt idx="11">
                  <c:v>4.9163739732954306E-2</c:v>
                </c:pt>
                <c:pt idx="12">
                  <c:v>4.9936716143136578E-2</c:v>
                </c:pt>
                <c:pt idx="13">
                  <c:v>4.950193128684692E-2</c:v>
                </c:pt>
                <c:pt idx="14">
                  <c:v>4.8488252363568289E-2</c:v>
                </c:pt>
                <c:pt idx="15">
                  <c:v>4.4636063910727872E-2</c:v>
                </c:pt>
                <c:pt idx="16">
                  <c:v>3.60410094637224E-2</c:v>
                </c:pt>
                <c:pt idx="17">
                  <c:v>3.6786130536130536E-2</c:v>
                </c:pt>
                <c:pt idx="18">
                  <c:v>3.8845575160716725E-2</c:v>
                </c:pt>
                <c:pt idx="19">
                  <c:v>3.6311132956500368E-2</c:v>
                </c:pt>
                <c:pt idx="20">
                  <c:v>3.437734325431159E-2</c:v>
                </c:pt>
                <c:pt idx="21">
                  <c:v>3.4767678935508105E-2</c:v>
                </c:pt>
                <c:pt idx="22">
                  <c:v>3.3115119473384129E-2</c:v>
                </c:pt>
                <c:pt idx="23">
                  <c:v>3.8998366641045348E-2</c:v>
                </c:pt>
                <c:pt idx="24">
                  <c:v>4.059839357429719E-2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'Jerónimo Martins'!$C$35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D-4329-A8C1-57B3213F2FAA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D-4329-A8C1-57B3213F2F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Martins'!$H$35:$AF$35</c:f>
              <c:numCache>
                <c:formatCode>0.0%</c:formatCode>
                <c:ptCount val="25"/>
                <c:pt idx="0">
                  <c:v>2.8187897024406553E-2</c:v>
                </c:pt>
                <c:pt idx="1">
                  <c:v>2.223628048780488E-2</c:v>
                </c:pt>
                <c:pt idx="2">
                  <c:v>-1.5080715197956576E-2</c:v>
                </c:pt>
                <c:pt idx="3">
                  <c:v>-2.0714285714285713E-2</c:v>
                </c:pt>
                <c:pt idx="4">
                  <c:v>-5.2415210688591986E-2</c:v>
                </c:pt>
                <c:pt idx="5">
                  <c:v>1.6973953760608722E-2</c:v>
                </c:pt>
                <c:pt idx="6">
                  <c:v>2.6609442060085836E-2</c:v>
                </c:pt>
                <c:pt idx="7">
                  <c:v>2.8735632183908046E-2</c:v>
                </c:pt>
                <c:pt idx="8">
                  <c:v>2.6321760835035173E-2</c:v>
                </c:pt>
                <c:pt idx="9">
                  <c:v>2.4485981308411214E-2</c:v>
                </c:pt>
                <c:pt idx="10">
                  <c:v>2.3657474600870827E-2</c:v>
                </c:pt>
                <c:pt idx="11">
                  <c:v>2.7374232961145811E-2</c:v>
                </c:pt>
                <c:pt idx="12">
                  <c:v>3.233229777931193E-2</c:v>
                </c:pt>
                <c:pt idx="13">
                  <c:v>3.455986989225452E-2</c:v>
                </c:pt>
                <c:pt idx="14">
                  <c:v>3.3698399326032011E-2</c:v>
                </c:pt>
                <c:pt idx="15">
                  <c:v>3.2293515935412971E-2</c:v>
                </c:pt>
                <c:pt idx="16">
                  <c:v>2.3817034700315456E-2</c:v>
                </c:pt>
                <c:pt idx="17">
                  <c:v>2.4256993006993008E-2</c:v>
                </c:pt>
                <c:pt idx="18">
                  <c:v>2.4688825058131584E-2</c:v>
                </c:pt>
                <c:pt idx="19">
                  <c:v>2.3654460555419022E-2</c:v>
                </c:pt>
                <c:pt idx="20">
                  <c:v>2.312972255868951E-2</c:v>
                </c:pt>
                <c:pt idx="21">
                  <c:v>2.3232106449189827E-2</c:v>
                </c:pt>
                <c:pt idx="22">
                  <c:v>1.6178406675996477E-2</c:v>
                </c:pt>
                <c:pt idx="23">
                  <c:v>2.237990007686395E-2</c:v>
                </c:pt>
                <c:pt idx="24">
                  <c:v>2.3980365908076749E-2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'Jerónimo Martins'!$C$12</c:f>
              <c:strCache>
                <c:ptCount val="1"/>
                <c:pt idx="0">
                  <c:v>Resultado Líquido JMT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Martins'!$H$12:$AF$12</c:f>
              <c:numCache>
                <c:formatCode>#,##0</c:formatCode>
                <c:ptCount val="25"/>
                <c:pt idx="0">
                  <c:v>84.31</c:v>
                </c:pt>
                <c:pt idx="1">
                  <c:v>72.935000000000002</c:v>
                </c:pt>
                <c:pt idx="2">
                  <c:v>-59.040999999999997</c:v>
                </c:pt>
                <c:pt idx="3">
                  <c:v>-87</c:v>
                </c:pt>
                <c:pt idx="4">
                  <c:v>-204</c:v>
                </c:pt>
                <c:pt idx="5">
                  <c:v>58</c:v>
                </c:pt>
                <c:pt idx="6">
                  <c:v>93</c:v>
                </c:pt>
                <c:pt idx="7">
                  <c:v>110</c:v>
                </c:pt>
                <c:pt idx="8">
                  <c:v>116</c:v>
                </c:pt>
                <c:pt idx="9">
                  <c:v>131</c:v>
                </c:pt>
                <c:pt idx="10">
                  <c:v>163</c:v>
                </c:pt>
                <c:pt idx="11">
                  <c:v>200.3</c:v>
                </c:pt>
                <c:pt idx="12">
                  <c:v>281</c:v>
                </c:pt>
                <c:pt idx="13">
                  <c:v>340</c:v>
                </c:pt>
                <c:pt idx="14">
                  <c:v>360</c:v>
                </c:pt>
                <c:pt idx="15">
                  <c:v>382</c:v>
                </c:pt>
                <c:pt idx="16">
                  <c:v>302</c:v>
                </c:pt>
                <c:pt idx="17">
                  <c:v>333</c:v>
                </c:pt>
                <c:pt idx="18">
                  <c:v>361</c:v>
                </c:pt>
                <c:pt idx="19">
                  <c:v>385</c:v>
                </c:pt>
                <c:pt idx="20">
                  <c:v>401</c:v>
                </c:pt>
                <c:pt idx="21">
                  <c:v>433</c:v>
                </c:pt>
                <c:pt idx="22">
                  <c:v>312.13</c:v>
                </c:pt>
                <c:pt idx="23">
                  <c:v>465.86</c:v>
                </c:pt>
                <c:pt idx="24">
                  <c:v>537.4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'Jerónimo Martins'!$C$36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528486232711598E-2"/>
                  <c:y val="-3.7305262258397039E-2"/>
                </c:manualLayout>
              </c:layout>
              <c:spPr>
                <a:solidFill>
                  <a:srgbClr val="FF0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D-4D70-8F19-8F8871B72EDE}"/>
                </c:ext>
              </c:extLst>
            </c:dLbl>
            <c:dLbl>
              <c:idx val="9"/>
              <c:layout>
                <c:manualLayout>
                  <c:x val="-4.3923865300146456E-2"/>
                  <c:y val="-5.8275058275058314E-2"/>
                </c:manualLayout>
              </c:layout>
              <c:spPr>
                <a:solidFill>
                  <a:srgbClr val="FF0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D-4D70-8F19-8F8871B72EDE}"/>
                </c:ext>
              </c:extLst>
            </c:dLbl>
            <c:dLbl>
              <c:idx val="10"/>
              <c:spPr>
                <a:solidFill>
                  <a:srgbClr val="00FF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D-4D70-8F19-8F8871B72EDE}"/>
                </c:ext>
              </c:extLst>
            </c:dLbl>
            <c:dLbl>
              <c:idx val="14"/>
              <c:layout>
                <c:manualLayout>
                  <c:x val="-5.224146182336277E-2"/>
                  <c:y val="-0.10513301181911885"/>
                </c:manualLayout>
              </c:layout>
              <c:spPr>
                <a:solidFill>
                  <a:srgbClr val="FF0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D-4D70-8F19-8F8871B72EDE}"/>
                </c:ext>
              </c:extLst>
            </c:dLbl>
            <c:dLbl>
              <c:idx val="19"/>
              <c:layout>
                <c:manualLayout>
                  <c:x val="-5.9184103700018177E-2"/>
                  <c:y val="-9.156746190697454E-2"/>
                </c:manualLayout>
              </c:layout>
              <c:spPr>
                <a:solidFill>
                  <a:srgbClr val="FF0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ED-4D70-8F19-8F8871B72EDE}"/>
                </c:ext>
              </c:extLst>
            </c:dLbl>
            <c:dLbl>
              <c:idx val="21"/>
              <c:spPr>
                <a:solidFill>
                  <a:srgbClr val="00FF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01-4C81-A188-2B0333D928C8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'Jerónimo Martins'!$H$36:$AF$36</c:f>
              <c:numCache>
                <c:formatCode>0.0</c:formatCode>
                <c:ptCount val="25"/>
                <c:pt idx="0">
                  <c:v>37.188945558059537</c:v>
                </c:pt>
                <c:pt idx="1">
                  <c:v>32.385685884691846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16.727241379310346</c:v>
                </c:pt>
                <c:pt idx="6">
                  <c:v>12.695053763440859</c:v>
                </c:pt>
                <c:pt idx="7">
                  <c:v>14.044363636363636</c:v>
                </c:pt>
                <c:pt idx="8">
                  <c:v>17.865517241379312</c:v>
                </c:pt>
                <c:pt idx="9">
                  <c:v>25.07206106870229</c:v>
                </c:pt>
                <c:pt idx="10">
                  <c:v>14.833128834355829</c:v>
                </c:pt>
                <c:pt idx="11">
                  <c:v>21.225961058412377</c:v>
                </c:pt>
                <c:pt idx="12">
                  <c:v>24.695373665480428</c:v>
                </c:pt>
                <c:pt idx="13">
                  <c:v>22.903529411764705</c:v>
                </c:pt>
                <c:pt idx="14">
                  <c:v>24.683888888888891</c:v>
                </c:pt>
                <c:pt idx="15">
                  <c:v>22.654031413612564</c:v>
                </c:pt>
                <c:pt idx="16">
                  <c:v>16.802119205298013</c:v>
                </c:pt>
                <c:pt idx="17">
                  <c:v>22.63063063063063</c:v>
                </c:pt>
                <c:pt idx="18">
                  <c:v>25.659613304155123</c:v>
                </c:pt>
                <c:pt idx="19">
                  <c:v>26.424935064935067</c:v>
                </c:pt>
                <c:pt idx="20">
                  <c:v>16.204920199501249</c:v>
                </c:pt>
                <c:pt idx="21">
                  <c:v>21.311665704387991</c:v>
                </c:pt>
                <c:pt idx="22">
                  <c:v>27.860939352193</c:v>
                </c:pt>
                <c:pt idx="23">
                  <c:v>27.117266990082857</c:v>
                </c:pt>
                <c:pt idx="24">
                  <c:v>22.951828247115742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'Jerónimo Martins'!$C$38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2-482C-9998-9112C39E703D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2-482C-9998-9112C39E7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Martins'!$H$38:$AF$38</c:f>
              <c:numCache>
                <c:formatCode>0%</c:formatCode>
                <c:ptCount val="25"/>
                <c:pt idx="0">
                  <c:v>0.35746036175338181</c:v>
                </c:pt>
                <c:pt idx="1">
                  <c:v>0.37843143804974322</c:v>
                </c:pt>
                <c:pt idx="2">
                  <c:v>0.14225132346880912</c:v>
                </c:pt>
                <c:pt idx="3">
                  <c:v>0.44242029928432008</c:v>
                </c:pt>
                <c:pt idx="4">
                  <c:v>2.4880465589234331</c:v>
                </c:pt>
                <c:pt idx="5">
                  <c:v>2.1514629948364892</c:v>
                </c:pt>
                <c:pt idx="6">
                  <c:v>0.36541873825126048</c:v>
                </c:pt>
                <c:pt idx="7">
                  <c:v>0.31167746601746288</c:v>
                </c:pt>
                <c:pt idx="8">
                  <c:v>0.27597972581101315</c:v>
                </c:pt>
                <c:pt idx="9">
                  <c:v>0.26001700985298626</c:v>
                </c:pt>
                <c:pt idx="10">
                  <c:v>0.33872036514968457</c:v>
                </c:pt>
                <c:pt idx="11">
                  <c:v>0.33756031281024385</c:v>
                </c:pt>
                <c:pt idx="12">
                  <c:v>0.3834559096387033</c:v>
                </c:pt>
                <c:pt idx="13">
                  <c:v>0.34255126838927047</c:v>
                </c:pt>
                <c:pt idx="14">
                  <c:v>0.34489049393911553</c:v>
                </c:pt>
                <c:pt idx="15">
                  <c:v>0.32014319131829871</c:v>
                </c:pt>
                <c:pt idx="16">
                  <c:v>0.27888113134202847</c:v>
                </c:pt>
                <c:pt idx="17">
                  <c:v>0.37638816426921068</c:v>
                </c:pt>
                <c:pt idx="18">
                  <c:v>0.32681242807825084</c:v>
                </c:pt>
                <c:pt idx="19">
                  <c:v>0.33055540019016721</c:v>
                </c:pt>
                <c:pt idx="20">
                  <c:v>0.33522695314697115</c:v>
                </c:pt>
                <c:pt idx="21">
                  <c:v>0.32810126582278482</c:v>
                </c:pt>
                <c:pt idx="22">
                  <c:v>0.31815646631143868</c:v>
                </c:pt>
                <c:pt idx="23">
                  <c:v>0.38010488364470668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'Jerónimo Martins'!$C$39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2-482C-9998-9112C39E703D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2-482C-9998-9112C39E7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Martins'!$H$39:$AF$39</c:f>
              <c:numCache>
                <c:formatCode>0%</c:formatCode>
                <c:ptCount val="25"/>
                <c:pt idx="0">
                  <c:v>0.21544316871901137</c:v>
                </c:pt>
                <c:pt idx="1">
                  <c:v>0.18741696838567271</c:v>
                </c:pt>
                <c:pt idx="2">
                  <c:v>-0.20795454945705197</c:v>
                </c:pt>
                <c:pt idx="3">
                  <c:v>-0.45283018867924529</c:v>
                </c:pt>
                <c:pt idx="4">
                  <c:v>-4.4135782436554818</c:v>
                </c:pt>
                <c:pt idx="5">
                  <c:v>0.75627184060919006</c:v>
                </c:pt>
                <c:pt idx="6">
                  <c:v>0.16338433969888089</c:v>
                </c:pt>
                <c:pt idx="7">
                  <c:v>0.16404077158813835</c:v>
                </c:pt>
                <c:pt idx="8">
                  <c:v>0.15118320406734953</c:v>
                </c:pt>
                <c:pt idx="9">
                  <c:v>0.15158440416336402</c:v>
                </c:pt>
                <c:pt idx="10">
                  <c:v>0.17505705463820648</c:v>
                </c:pt>
                <c:pt idx="11">
                  <c:v>0.18795263931297354</c:v>
                </c:pt>
                <c:pt idx="12">
                  <c:v>0.24827444840662585</c:v>
                </c:pt>
                <c:pt idx="13">
                  <c:v>0.2391528362471293</c:v>
                </c:pt>
                <c:pt idx="14">
                  <c:v>0.23969223517004168</c:v>
                </c:pt>
                <c:pt idx="15">
                  <c:v>0.23161874826437523</c:v>
                </c:pt>
                <c:pt idx="16">
                  <c:v>0.18429343909254398</c:v>
                </c:pt>
                <c:pt idx="17">
                  <c:v>0.24819259148841022</c:v>
                </c:pt>
                <c:pt idx="18">
                  <c:v>0.20771001150747986</c:v>
                </c:pt>
                <c:pt idx="19">
                  <c:v>0.21533642821186866</c:v>
                </c:pt>
                <c:pt idx="20">
                  <c:v>0.22554699364418695</c:v>
                </c:pt>
                <c:pt idx="21">
                  <c:v>0.21924050632911393</c:v>
                </c:pt>
                <c:pt idx="22">
                  <c:v>0.15543548628056372</c:v>
                </c:pt>
                <c:pt idx="23">
                  <c:v>0.21812988715643586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'Jerónimo Martins'!$C$37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'Jerónimo Martins'!$H$3:$AF$3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'Jerónimo Martins'!$H$37:$AF$37</c:f>
              <c:numCache>
                <c:formatCode>0.0</c:formatCode>
                <c:ptCount val="25"/>
                <c:pt idx="0">
                  <c:v>8.0121042723471483</c:v>
                </c:pt>
                <c:pt idx="1">
                  <c:v>6.069627067599618</c:v>
                </c:pt>
                <c:pt idx="2">
                  <c:v>3.5558780330594226</c:v>
                </c:pt>
                <c:pt idx="3">
                  <c:v>4.457306441119063</c:v>
                </c:pt>
                <c:pt idx="4">
                  <c:v>13.954263213690748</c:v>
                </c:pt>
                <c:pt idx="5">
                  <c:v>12.650341626245243</c:v>
                </c:pt>
                <c:pt idx="6">
                  <c:v>2.0741729765815777</c:v>
                </c:pt>
                <c:pt idx="7">
                  <c:v>2.3038482473734834</c:v>
                </c:pt>
                <c:pt idx="8">
                  <c:v>2.7009661388721997</c:v>
                </c:pt>
                <c:pt idx="9">
                  <c:v>3.800533438246712</c:v>
                </c:pt>
                <c:pt idx="10">
                  <c:v>2.5966438448113842</c:v>
                </c:pt>
                <c:pt idx="11">
                  <c:v>3.9894754028830035</c:v>
                </c:pt>
                <c:pt idx="12">
                  <c:v>6.1312302749926673</c:v>
                </c:pt>
                <c:pt idx="13">
                  <c:v>5.477444018893074</c:v>
                </c:pt>
                <c:pt idx="14">
                  <c:v>5.9165365004667345</c:v>
                </c:pt>
                <c:pt idx="15">
                  <c:v>5.2470983991627778</c:v>
                </c:pt>
                <c:pt idx="16">
                  <c:v>3.0965203323872528</c:v>
                </c:pt>
                <c:pt idx="17">
                  <c:v>5.6167548632332114</c:v>
                </c:pt>
                <c:pt idx="18">
                  <c:v>5.3297585746835443</c:v>
                </c:pt>
                <c:pt idx="19">
                  <c:v>5.6902511326136809</c:v>
                </c:pt>
                <c:pt idx="20">
                  <c:v>3.6549710332414649</c:v>
                </c:pt>
                <c:pt idx="21">
                  <c:v>4.6723803797468353</c:v>
                </c:pt>
                <c:pt idx="22">
                  <c:v>4.3305786564414124</c:v>
                </c:pt>
                <c:pt idx="23">
                  <c:v>5.9150863885377163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'Jerónimo Martins'!$C$41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'Jerónimo Martins'!$H$41:$AF$41</c:f>
              <c:numCache>
                <c:formatCode>0.0</c:formatCode>
                <c:ptCount val="25"/>
                <c:pt idx="0">
                  <c:v>0.60544949206379961</c:v>
                </c:pt>
                <c:pt idx="1">
                  <c:v>0.51453860620120984</c:v>
                </c:pt>
                <c:pt idx="2">
                  <c:v>0.47153142853366553</c:v>
                </c:pt>
                <c:pt idx="3">
                  <c:v>0.52168729709725692</c:v>
                </c:pt>
                <c:pt idx="4">
                  <c:v>0.41896514556961484</c:v>
                </c:pt>
                <c:pt idx="5">
                  <c:v>0.44505849101349437</c:v>
                </c:pt>
                <c:pt idx="6">
                  <c:v>0.4425629663302616</c:v>
                </c:pt>
                <c:pt idx="7">
                  <c:v>0.59931685667043777</c:v>
                </c:pt>
                <c:pt idx="8">
                  <c:v>0.54025009685519143</c:v>
                </c:pt>
                <c:pt idx="9">
                  <c:v>0.52576166517028955</c:v>
                </c:pt>
                <c:pt idx="10">
                  <c:v>0.42629626822986683</c:v>
                </c:pt>
                <c:pt idx="11">
                  <c:v>0.42078003840611361</c:v>
                </c:pt>
                <c:pt idx="12">
                  <c:v>0.40607928010535921</c:v>
                </c:pt>
                <c:pt idx="13">
                  <c:v>0.46349596307061924</c:v>
                </c:pt>
                <c:pt idx="14">
                  <c:v>0.45691006195119155</c:v>
                </c:pt>
                <c:pt idx="15">
                  <c:v>0.43045522179227952</c:v>
                </c:pt>
                <c:pt idx="16">
                  <c:v>0.44429895753942444</c:v>
                </c:pt>
                <c:pt idx="17">
                  <c:v>0.44964155032338377</c:v>
                </c:pt>
                <c:pt idx="18">
                  <c:v>0.48827744728059891</c:v>
                </c:pt>
                <c:pt idx="19">
                  <c:v>0.4776919153048988</c:v>
                </c:pt>
                <c:pt idx="20">
                  <c:v>0.46837982422621327</c:v>
                </c:pt>
                <c:pt idx="21">
                  <c:v>0.47754657154181529</c:v>
                </c:pt>
                <c:pt idx="22">
                  <c:v>0.5134468138960957</c:v>
                </c:pt>
                <c:pt idx="23">
                  <c:v>0.54220545215584859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'Jerónimo Martins'!$C$45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'Jerónimo Martins'!$H$45:$AF$45</c:f>
              <c:numCache>
                <c:formatCode>0.0</c:formatCode>
                <c:ptCount val="25"/>
                <c:pt idx="0">
                  <c:v>4.4879502847831096</c:v>
                </c:pt>
                <c:pt idx="1">
                  <c:v>5.6353341436276692</c:v>
                </c:pt>
                <c:pt idx="2">
                  <c:v>9.2686245434340808</c:v>
                </c:pt>
                <c:pt idx="3">
                  <c:v>12.722945998698766</c:v>
                </c:pt>
                <c:pt idx="4">
                  <c:v>42.404426559356139</c:v>
                </c:pt>
                <c:pt idx="5">
                  <c:v>23.775608929223388</c:v>
                </c:pt>
                <c:pt idx="6">
                  <c:v>2.9241193935454404</c:v>
                </c:pt>
                <c:pt idx="7">
                  <c:v>2.5383072483651841</c:v>
                </c:pt>
                <c:pt idx="8">
                  <c:v>2.3947145830536662</c:v>
                </c:pt>
                <c:pt idx="9">
                  <c:v>2.6184273407351264</c:v>
                </c:pt>
                <c:pt idx="10">
                  <c:v>3.0022177473486376</c:v>
                </c:pt>
                <c:pt idx="11">
                  <c:v>2.588672733448814</c:v>
                </c:pt>
                <c:pt idx="12">
                  <c:v>2.6745607927818402</c:v>
                </c:pt>
                <c:pt idx="13">
                  <c:v>2.1520927631648363</c:v>
                </c:pt>
                <c:pt idx="14">
                  <c:v>2.177061319931874</c:v>
                </c:pt>
                <c:pt idx="15">
                  <c:v>2.0917822638246681</c:v>
                </c:pt>
                <c:pt idx="16">
                  <c:v>2.1564346176307798</c:v>
                </c:pt>
                <c:pt idx="17">
                  <c:v>2.9745844823731087</c:v>
                </c:pt>
                <c:pt idx="18">
                  <c:v>2.2713463751438434</c:v>
                </c:pt>
                <c:pt idx="19">
                  <c:v>2.6029979305330273</c:v>
                </c:pt>
                <c:pt idx="20">
                  <c:v>2.7459362168850889</c:v>
                </c:pt>
                <c:pt idx="21">
                  <c:v>3.9376708860759493</c:v>
                </c:pt>
                <c:pt idx="22">
                  <c:v>3.6949355111797222</c:v>
                </c:pt>
                <c:pt idx="23">
                  <c:v>3.4617689750433116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BCP!$C$12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BCP!$D$12:$AA$12</c:f>
              <c:numCache>
                <c:formatCode>#,##0</c:formatCode>
                <c:ptCount val="24"/>
                <c:pt idx="0">
                  <c:v>271.02616499999999</c:v>
                </c:pt>
                <c:pt idx="1">
                  <c:v>431.423835</c:v>
                </c:pt>
                <c:pt idx="2">
                  <c:v>1081.1210000000001</c:v>
                </c:pt>
                <c:pt idx="3">
                  <c:v>516.61599999999999</c:v>
                </c:pt>
                <c:pt idx="4">
                  <c:v>272.72210000000001</c:v>
                </c:pt>
                <c:pt idx="5">
                  <c:v>437.654</c:v>
                </c:pt>
                <c:pt idx="6">
                  <c:v>631.53399999999999</c:v>
                </c:pt>
                <c:pt idx="7">
                  <c:v>840.48699999999997</c:v>
                </c:pt>
                <c:pt idx="8">
                  <c:v>839.09900000000005</c:v>
                </c:pt>
                <c:pt idx="9">
                  <c:v>618.64599999999996</c:v>
                </c:pt>
                <c:pt idx="10">
                  <c:v>258.01100000000002</c:v>
                </c:pt>
                <c:pt idx="11">
                  <c:v>249.30199999999999</c:v>
                </c:pt>
                <c:pt idx="12">
                  <c:v>403.76400000000001</c:v>
                </c:pt>
                <c:pt idx="13">
                  <c:v>-762.77</c:v>
                </c:pt>
                <c:pt idx="14">
                  <c:v>-1137.21</c:v>
                </c:pt>
                <c:pt idx="15">
                  <c:v>-646.74800000000005</c:v>
                </c:pt>
                <c:pt idx="16">
                  <c:v>-116.56</c:v>
                </c:pt>
                <c:pt idx="17">
                  <c:v>360.96100000000001</c:v>
                </c:pt>
                <c:pt idx="18">
                  <c:v>-21.3</c:v>
                </c:pt>
                <c:pt idx="19">
                  <c:v>186.39</c:v>
                </c:pt>
                <c:pt idx="20">
                  <c:v>301.10000000000002</c:v>
                </c:pt>
                <c:pt idx="21">
                  <c:v>302</c:v>
                </c:pt>
                <c:pt idx="22">
                  <c:v>183.01</c:v>
                </c:pt>
                <c:pt idx="23">
                  <c:v>116.88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BCP!$C$36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DE-4C7B-8FC6-80917CB03B48}"/>
                </c:ext>
              </c:extLst>
            </c:dLbl>
            <c:dLbl>
              <c:idx val="2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DE-4C7B-8FC6-80917CB03B48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BCP!$D$36:$AA$36</c:f>
              <c:numCache>
                <c:formatCode>0.0</c:formatCode>
                <c:ptCount val="24"/>
                <c:pt idx="0">
                  <c:v>13.37878208179642</c:v>
                </c:pt>
                <c:pt idx="1">
                  <c:v>44.225651093199339</c:v>
                </c:pt>
                <c:pt idx="2">
                  <c:v>38.022167230532013</c:v>
                </c:pt>
                <c:pt idx="3">
                  <c:v>74.176939978997936</c:v>
                </c:pt>
                <c:pt idx="4">
                  <c:v>70.384459987841097</c:v>
                </c:pt>
                <c:pt idx="5">
                  <c:v>53.36536233666321</c:v>
                </c:pt>
                <c:pt idx="6">
                  <c:v>39.509655407024802</c:v>
                </c:pt>
                <c:pt idx="7">
                  <c:v>36.58577024853448</c:v>
                </c:pt>
                <c:pt idx="8">
                  <c:v>48.848336829682793</c:v>
                </c:pt>
                <c:pt idx="9">
                  <c:v>69.115685017408993</c:v>
                </c:pt>
                <c:pt idx="10">
                  <c:v>66.776928115467939</c:v>
                </c:pt>
                <c:pt idx="11">
                  <c:v>71.746018884726169</c:v>
                </c:pt>
                <c:pt idx="12">
                  <c:v>30.462973420116704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6.3582769329650572</c:v>
                </c:pt>
                <c:pt idx="18">
                  <c:v>0</c:v>
                </c:pt>
                <c:pt idx="19">
                  <c:v>19.429196845324324</c:v>
                </c:pt>
                <c:pt idx="20">
                  <c:v>11.519970109598139</c:v>
                </c:pt>
                <c:pt idx="21">
                  <c:v>10.149394577038411</c:v>
                </c:pt>
                <c:pt idx="22">
                  <c:v>10.174545446076172</c:v>
                </c:pt>
                <c:pt idx="23">
                  <c:v>18.220064889089663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Lisgráfica!$C$26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Lisgráfica!$H$26:$AE$26</c:f>
              <c:numCache>
                <c:formatCode>#,##0</c:formatCode>
                <c:ptCount val="24"/>
                <c:pt idx="0">
                  <c:v>20.351040000000001</c:v>
                </c:pt>
                <c:pt idx="1">
                  <c:v>13.76688</c:v>
                </c:pt>
                <c:pt idx="2">
                  <c:v>10.175520000000001</c:v>
                </c:pt>
                <c:pt idx="3">
                  <c:v>5</c:v>
                </c:pt>
                <c:pt idx="4">
                  <c:v>2.9290500000000002</c:v>
                </c:pt>
                <c:pt idx="5">
                  <c:v>2.8000000000000003</c:v>
                </c:pt>
                <c:pt idx="6">
                  <c:v>4</c:v>
                </c:pt>
                <c:pt idx="7">
                  <c:v>2.8000000000000003</c:v>
                </c:pt>
                <c:pt idx="8">
                  <c:v>9.6</c:v>
                </c:pt>
                <c:pt idx="9">
                  <c:v>10</c:v>
                </c:pt>
                <c:pt idx="10">
                  <c:v>13.068763400000002</c:v>
                </c:pt>
                <c:pt idx="11">
                  <c:v>14.9357296</c:v>
                </c:pt>
                <c:pt idx="12">
                  <c:v>9.3348309999999994</c:v>
                </c:pt>
                <c:pt idx="13">
                  <c:v>5.6008985999999998</c:v>
                </c:pt>
                <c:pt idx="14">
                  <c:v>3.7339324</c:v>
                </c:pt>
                <c:pt idx="15">
                  <c:v>3.7339324</c:v>
                </c:pt>
                <c:pt idx="16">
                  <c:v>5.6008985999999998</c:v>
                </c:pt>
                <c:pt idx="17">
                  <c:v>5.6040000000000001</c:v>
                </c:pt>
                <c:pt idx="18">
                  <c:v>3.7360000000000002</c:v>
                </c:pt>
                <c:pt idx="19">
                  <c:v>1.8680000000000001</c:v>
                </c:pt>
                <c:pt idx="20" formatCode="#\ ##0.0">
                  <c:v>1.6812</c:v>
                </c:pt>
                <c:pt idx="21" formatCode="#\ ##0.0">
                  <c:v>1.4002499999999998</c:v>
                </c:pt>
                <c:pt idx="22" formatCode="#\ ##0.0">
                  <c:v>2.0536999999999996</c:v>
                </c:pt>
                <c:pt idx="23" formatCode="#\ ##0.0">
                  <c:v>1.0268499999999998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Lisgráfica!$C$5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9-44F1-BE2B-DADE83F38B79}"/>
                </c:ext>
              </c:extLst>
            </c:dLbl>
            <c:dLbl>
              <c:idx val="2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9-44F1-BE2B-DADE83F38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Lisgráfica!$H$5:$AE$5</c:f>
              <c:numCache>
                <c:formatCode>#,##0</c:formatCode>
                <c:ptCount val="24"/>
                <c:pt idx="0">
                  <c:v>19.952000000000002</c:v>
                </c:pt>
                <c:pt idx="1">
                  <c:v>19.952000000000002</c:v>
                </c:pt>
                <c:pt idx="2">
                  <c:v>19.952000000000002</c:v>
                </c:pt>
                <c:pt idx="3">
                  <c:v>20</c:v>
                </c:pt>
                <c:pt idx="4">
                  <c:v>19.527000000000001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100</c:v>
                </c:pt>
                <c:pt idx="9">
                  <c:v>100</c:v>
                </c:pt>
                <c:pt idx="10">
                  <c:v>186.69662</c:v>
                </c:pt>
                <c:pt idx="11">
                  <c:v>186.69662</c:v>
                </c:pt>
                <c:pt idx="12">
                  <c:v>186.69662</c:v>
                </c:pt>
                <c:pt idx="13">
                  <c:v>186.69662</c:v>
                </c:pt>
                <c:pt idx="14">
                  <c:v>186.69662</c:v>
                </c:pt>
                <c:pt idx="15">
                  <c:v>186.69662</c:v>
                </c:pt>
                <c:pt idx="16">
                  <c:v>186.69662</c:v>
                </c:pt>
                <c:pt idx="17">
                  <c:v>186.8</c:v>
                </c:pt>
                <c:pt idx="18">
                  <c:v>186.8</c:v>
                </c:pt>
                <c:pt idx="19">
                  <c:v>186.8</c:v>
                </c:pt>
                <c:pt idx="20">
                  <c:v>186.8</c:v>
                </c:pt>
                <c:pt idx="21">
                  <c:v>186.7</c:v>
                </c:pt>
                <c:pt idx="22">
                  <c:v>186.7</c:v>
                </c:pt>
                <c:pt idx="23">
                  <c:v>186.7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Lisgráfica!$C$6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Lisgráfica!$H$6:$AE$6</c:f>
              <c:numCache>
                <c:formatCode>#,##0</c:formatCode>
                <c:ptCount val="24"/>
                <c:pt idx="0">
                  <c:v>10.644135</c:v>
                </c:pt>
                <c:pt idx="1">
                  <c:v>14.44</c:v>
                </c:pt>
                <c:pt idx="2">
                  <c:v>38.901287000000004</c:v>
                </c:pt>
                <c:pt idx="3">
                  <c:v>38.479742999999999</c:v>
                </c:pt>
                <c:pt idx="4">
                  <c:v>45.769267999999997</c:v>
                </c:pt>
                <c:pt idx="5">
                  <c:v>41.565742999999998</c:v>
                </c:pt>
                <c:pt idx="6">
                  <c:v>41.722206999999997</c:v>
                </c:pt>
                <c:pt idx="7">
                  <c:v>38.055956000000002</c:v>
                </c:pt>
                <c:pt idx="8">
                  <c:v>36.459716999999998</c:v>
                </c:pt>
                <c:pt idx="9">
                  <c:v>36.004708999999998</c:v>
                </c:pt>
                <c:pt idx="10">
                  <c:v>37.441450000000003</c:v>
                </c:pt>
                <c:pt idx="11">
                  <c:v>37.04692</c:v>
                </c:pt>
                <c:pt idx="12">
                  <c:v>36.404034000000003</c:v>
                </c:pt>
                <c:pt idx="13">
                  <c:v>31.746724</c:v>
                </c:pt>
                <c:pt idx="14">
                  <c:v>24.591705999999999</c:v>
                </c:pt>
                <c:pt idx="15">
                  <c:v>36.999426999999997</c:v>
                </c:pt>
                <c:pt idx="16">
                  <c:v>23.221810000000001</c:v>
                </c:pt>
                <c:pt idx="17">
                  <c:v>21.562106</c:v>
                </c:pt>
                <c:pt idx="18">
                  <c:v>19.009547000000001</c:v>
                </c:pt>
                <c:pt idx="19">
                  <c:v>17.87</c:v>
                </c:pt>
                <c:pt idx="20">
                  <c:v>26.07</c:v>
                </c:pt>
                <c:pt idx="21">
                  <c:v>14.58</c:v>
                </c:pt>
                <c:pt idx="22">
                  <c:v>10.88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Lisgráfica!$C$27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Lisgráfica!$H$27:$AE$27</c:f>
              <c:numCache>
                <c:formatCode>0.0</c:formatCode>
                <c:ptCount val="24"/>
                <c:pt idx="0">
                  <c:v>1.9119486928717082</c:v>
                </c:pt>
                <c:pt idx="1">
                  <c:v>0.95338504155124659</c:v>
                </c:pt>
                <c:pt idx="2">
                  <c:v>0.2615728369089691</c:v>
                </c:pt>
                <c:pt idx="3">
                  <c:v>0.12993849777011246</c:v>
                </c:pt>
                <c:pt idx="4">
                  <c:v>6.3995998362918985E-2</c:v>
                </c:pt>
                <c:pt idx="5">
                  <c:v>6.7363164902405334E-2</c:v>
                </c:pt>
                <c:pt idx="6">
                  <c:v>9.5872205418088274E-2</c:v>
                </c:pt>
                <c:pt idx="7">
                  <c:v>7.3575868124295715E-2</c:v>
                </c:pt>
                <c:pt idx="8">
                  <c:v>0.26330429278976575</c:v>
                </c:pt>
                <c:pt idx="9">
                  <c:v>0.27774144765341668</c:v>
                </c:pt>
                <c:pt idx="10">
                  <c:v>0.34904533344728905</c:v>
                </c:pt>
                <c:pt idx="11">
                  <c:v>0.40315712075389804</c:v>
                </c:pt>
                <c:pt idx="12">
                  <c:v>0.25642298323312185</c:v>
                </c:pt>
                <c:pt idx="13">
                  <c:v>0.17642445878825166</c:v>
                </c:pt>
                <c:pt idx="14">
                  <c:v>0.1518370624632549</c:v>
                </c:pt>
                <c:pt idx="15">
                  <c:v>0.10091865476727518</c:v>
                </c:pt>
                <c:pt idx="16">
                  <c:v>0.24119130248675705</c:v>
                </c:pt>
                <c:pt idx="17">
                  <c:v>0.25990040119457719</c:v>
                </c:pt>
                <c:pt idx="18">
                  <c:v>0.19653282637403194</c:v>
                </c:pt>
                <c:pt idx="19">
                  <c:v>0.10453273642977057</c:v>
                </c:pt>
                <c:pt idx="20">
                  <c:v>6.4487917146144991E-2</c:v>
                </c:pt>
                <c:pt idx="21">
                  <c:v>9.6039094650205742E-2</c:v>
                </c:pt>
                <c:pt idx="22">
                  <c:v>0.18875919117647055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Lisgráfica!$C$7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Lisgráfica!$H$7:$AE$7</c:f>
              <c:numCache>
                <c:formatCode>#,##0</c:formatCode>
                <c:ptCount val="24"/>
                <c:pt idx="0">
                  <c:v>15.360355000000002</c:v>
                </c:pt>
                <c:pt idx="1">
                  <c:v>18.134999999999998</c:v>
                </c:pt>
                <c:pt idx="2">
                  <c:v>18.409328000000002</c:v>
                </c:pt>
                <c:pt idx="3">
                  <c:v>13.412227</c:v>
                </c:pt>
                <c:pt idx="4">
                  <c:v>11.534545999999999</c:v>
                </c:pt>
                <c:pt idx="5">
                  <c:v>11.996829</c:v>
                </c:pt>
                <c:pt idx="6">
                  <c:v>11.316012000000001</c:v>
                </c:pt>
                <c:pt idx="7">
                  <c:v>6.8572249999999997</c:v>
                </c:pt>
                <c:pt idx="8">
                  <c:v>2.1082960000000002</c:v>
                </c:pt>
                <c:pt idx="9">
                  <c:v>5.028162</c:v>
                </c:pt>
                <c:pt idx="10">
                  <c:v>-17.444595</c:v>
                </c:pt>
                <c:pt idx="11">
                  <c:v>0.52529300000000045</c:v>
                </c:pt>
                <c:pt idx="12">
                  <c:v>0.97883300000000073</c:v>
                </c:pt>
                <c:pt idx="13">
                  <c:v>-10.575512000000002</c:v>
                </c:pt>
                <c:pt idx="14">
                  <c:v>-0.44486699999999946</c:v>
                </c:pt>
                <c:pt idx="15">
                  <c:v>13.053550999999999</c:v>
                </c:pt>
                <c:pt idx="16">
                  <c:v>-0.87</c:v>
                </c:pt>
                <c:pt idx="17">
                  <c:v>1.42</c:v>
                </c:pt>
                <c:pt idx="18">
                  <c:v>-2</c:v>
                </c:pt>
                <c:pt idx="19" formatCode="#,##0.00">
                  <c:v>0.39</c:v>
                </c:pt>
                <c:pt idx="20" formatCode="#,##0.00">
                  <c:v>7.5</c:v>
                </c:pt>
                <c:pt idx="21">
                  <c:v>-3.6</c:v>
                </c:pt>
                <c:pt idx="22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Lisgráfica!$C$28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Lisgráfica!$H$28:$AE$28</c:f>
              <c:numCache>
                <c:formatCode>0.0</c:formatCode>
                <c:ptCount val="24"/>
                <c:pt idx="0">
                  <c:v>1.3249068787798197</c:v>
                </c:pt>
                <c:pt idx="1">
                  <c:v>0.75913316790736152</c:v>
                </c:pt>
                <c:pt idx="2">
                  <c:v>0.55273717758736218</c:v>
                </c:pt>
                <c:pt idx="3">
                  <c:v>0.37279416759051276</c:v>
                </c:pt>
                <c:pt idx="4">
                  <c:v>0.25393717273310978</c:v>
                </c:pt>
                <c:pt idx="5">
                  <c:v>0.23339500796418788</c:v>
                </c:pt>
                <c:pt idx="6">
                  <c:v>0.35348142083977996</c:v>
                </c:pt>
                <c:pt idx="7">
                  <c:v>0.40832844189887313</c:v>
                </c:pt>
                <c:pt idx="8">
                  <c:v>4.5534403138838186</c:v>
                </c:pt>
                <c:pt idx="9">
                  <c:v>1.988798292497338</c:v>
                </c:pt>
                <c:pt idx="10">
                  <c:v>-0.74915831522600562</c:v>
                </c:pt>
                <c:pt idx="11">
                  <c:v>28.433140361664798</c:v>
                </c:pt>
                <c:pt idx="12">
                  <c:v>9.5366942062639826</c:v>
                </c:pt>
                <c:pt idx="13">
                  <c:v>-0.52961015977287895</c:v>
                </c:pt>
                <c:pt idx="14">
                  <c:v>-8.3933679054638901</c:v>
                </c:pt>
                <c:pt idx="15">
                  <c:v>0.2860472525828413</c:v>
                </c:pt>
                <c:pt idx="16">
                  <c:v>-6.4378144827586201</c:v>
                </c:pt>
                <c:pt idx="17">
                  <c:v>3.9464788732394367</c:v>
                </c:pt>
                <c:pt idx="18">
                  <c:v>-1.8680000000000001</c:v>
                </c:pt>
                <c:pt idx="19">
                  <c:v>4.7897435897435896</c:v>
                </c:pt>
                <c:pt idx="20">
                  <c:v>0.22416</c:v>
                </c:pt>
                <c:pt idx="21">
                  <c:v>-0.38895833333333324</c:v>
                </c:pt>
                <c:pt idx="22">
                  <c:v>-2.5671249999999994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Lisgráfica!$C$32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67-405B-A39E-A0B0E2747E27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1-437F-A8DB-DC679C3D9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Lisgráfica!$H$32:$AE$32</c:f>
              <c:numCache>
                <c:formatCode>0.0%</c:formatCode>
                <c:ptCount val="24"/>
                <c:pt idx="0">
                  <c:v>1.4430815655757843</c:v>
                </c:pt>
                <c:pt idx="1">
                  <c:v>1.2558864265927976</c:v>
                </c:pt>
                <c:pt idx="2">
                  <c:v>0.47323184963006493</c:v>
                </c:pt>
                <c:pt idx="3">
                  <c:v>0.34855292562634838</c:v>
                </c:pt>
                <c:pt idx="4">
                  <c:v>0.25201508575579579</c:v>
                </c:pt>
                <c:pt idx="5">
                  <c:v>0.28862298936891373</c:v>
                </c:pt>
                <c:pt idx="6">
                  <c:v>0.271222756744388</c:v>
                </c:pt>
                <c:pt idx="7">
                  <c:v>0.18018795796379414</c:v>
                </c:pt>
                <c:pt idx="8">
                  <c:v>5.7825352840780421E-2</c:v>
                </c:pt>
                <c:pt idx="9">
                  <c:v>0.13965289929158989</c:v>
                </c:pt>
                <c:pt idx="10">
                  <c:v>-0.46591665119807052</c:v>
                </c:pt>
                <c:pt idx="11">
                  <c:v>1.4179127441633486E-2</c:v>
                </c:pt>
                <c:pt idx="12">
                  <c:v>2.6888036639016451E-2</c:v>
                </c:pt>
                <c:pt idx="13">
                  <c:v>-0.33312136395553765</c:v>
                </c:pt>
                <c:pt idx="14">
                  <c:v>-1.8090123556291682E-2</c:v>
                </c:pt>
                <c:pt idx="15">
                  <c:v>0.35280413937221244</c:v>
                </c:pt>
                <c:pt idx="16">
                  <c:v>-3.746477987719303E-2</c:v>
                </c:pt>
                <c:pt idx="17">
                  <c:v>6.5856275820181942E-2</c:v>
                </c:pt>
                <c:pt idx="18">
                  <c:v>-0.10521029249145179</c:v>
                </c:pt>
                <c:pt idx="19">
                  <c:v>2.1824286513710128E-2</c:v>
                </c:pt>
                <c:pt idx="20">
                  <c:v>0.28768699654775604</c:v>
                </c:pt>
                <c:pt idx="21">
                  <c:v>-0.24691358024691359</c:v>
                </c:pt>
                <c:pt idx="22">
                  <c:v>-7.3529411764705885E-2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Lisgráfica!$C$33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67-405B-A39E-A0B0E2747E27}"/>
                </c:ext>
              </c:extLst>
            </c:dLbl>
            <c:dLbl>
              <c:idx val="20"/>
              <c:layout>
                <c:manualLayout>
                  <c:x val="-1.3284180933996331E-16"/>
                  <c:y val="8.0218064510942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1-437F-A8DB-DC679C3D9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Lisgráfica!$H$33:$AE$33</c:f>
              <c:numCache>
                <c:formatCode>0.0%</c:formatCode>
                <c:ptCount val="24"/>
                <c:pt idx="0">
                  <c:v>0.73989149893345019</c:v>
                </c:pt>
                <c:pt idx="1">
                  <c:v>0.55782548476454297</c:v>
                </c:pt>
                <c:pt idx="2">
                  <c:v>0.21611953352597305</c:v>
                </c:pt>
                <c:pt idx="3">
                  <c:v>5.0577962539926524E-2</c:v>
                </c:pt>
                <c:pt idx="4">
                  <c:v>5.247835731172279E-2</c:v>
                </c:pt>
                <c:pt idx="5">
                  <c:v>7.3540896405965853E-2</c:v>
                </c:pt>
                <c:pt idx="6">
                  <c:v>0.10894761631377746</c:v>
                </c:pt>
                <c:pt idx="7">
                  <c:v>3.1372592505625137E-2</c:v>
                </c:pt>
                <c:pt idx="8">
                  <c:v>-9.7505282336667623E-2</c:v>
                </c:pt>
                <c:pt idx="9">
                  <c:v>-1.3584778591044856E-2</c:v>
                </c:pt>
                <c:pt idx="10">
                  <c:v>-0.61170106926948609</c:v>
                </c:pt>
                <c:pt idx="11">
                  <c:v>-0.18171389146520142</c:v>
                </c:pt>
                <c:pt idx="12">
                  <c:v>-0.16942155366627773</c:v>
                </c:pt>
                <c:pt idx="13">
                  <c:v>-0.51825879734866509</c:v>
                </c:pt>
                <c:pt idx="14">
                  <c:v>-0.20266080767231032</c:v>
                </c:pt>
                <c:pt idx="15">
                  <c:v>0.25069363912041126</c:v>
                </c:pt>
                <c:pt idx="16">
                  <c:v>-0.16233291031147012</c:v>
                </c:pt>
                <c:pt idx="17">
                  <c:v>2.8041323978279303E-3</c:v>
                </c:pt>
                <c:pt idx="18">
                  <c:v>-0.17299654747164672</c:v>
                </c:pt>
                <c:pt idx="19">
                  <c:v>-4.0910408505875767E-2</c:v>
                </c:pt>
                <c:pt idx="20">
                  <c:v>0.24741081703107021</c:v>
                </c:pt>
                <c:pt idx="21">
                  <c:v>-0.32853223593964337</c:v>
                </c:pt>
                <c:pt idx="22">
                  <c:v>-0.17463235294117646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Lisgráfica!$C$35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67-405B-A39E-A0B0E2747E27}"/>
                </c:ext>
              </c:extLst>
            </c:dLbl>
            <c:dLbl>
              <c:idx val="20"/>
              <c:layout>
                <c:manualLayout>
                  <c:x val="-7.8331976372332607E-2"/>
                  <c:y val="6.1612871180813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1-437F-A8DB-DC679C3D9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Lisgráfica!$H$35:$AE$35</c:f>
              <c:numCache>
                <c:formatCode>0.0%</c:formatCode>
                <c:ptCount val="24"/>
                <c:pt idx="0">
                  <c:v>0.26334643444488448</c:v>
                </c:pt>
                <c:pt idx="1">
                  <c:v>0.16398891966759002</c:v>
                </c:pt>
                <c:pt idx="2">
                  <c:v>4.5091001745006527E-2</c:v>
                </c:pt>
                <c:pt idx="3">
                  <c:v>-0.29459721183688775</c:v>
                </c:pt>
                <c:pt idx="4">
                  <c:v>-0.12872567680129821</c:v>
                </c:pt>
                <c:pt idx="5">
                  <c:v>-0.12384385863137345</c:v>
                </c:pt>
                <c:pt idx="6">
                  <c:v>5.6222768848253883E-2</c:v>
                </c:pt>
                <c:pt idx="7">
                  <c:v>-2.9620698531394134E-2</c:v>
                </c:pt>
                <c:pt idx="8">
                  <c:v>-0.16332471807172833</c:v>
                </c:pt>
                <c:pt idx="9">
                  <c:v>-6.2135205703231763E-2</c:v>
                </c:pt>
                <c:pt idx="10">
                  <c:v>-0.69174692753619316</c:v>
                </c:pt>
                <c:pt idx="11">
                  <c:v>-0.26062952061871808</c:v>
                </c:pt>
                <c:pt idx="12">
                  <c:v>-0.24168082581177677</c:v>
                </c:pt>
                <c:pt idx="13">
                  <c:v>-0.61792785296523822</c:v>
                </c:pt>
                <c:pt idx="14">
                  <c:v>-0.31123798405852771</c:v>
                </c:pt>
                <c:pt idx="15">
                  <c:v>1.0967335791443473</c:v>
                </c:pt>
                <c:pt idx="16">
                  <c:v>-0.15625913742296574</c:v>
                </c:pt>
                <c:pt idx="17">
                  <c:v>-6.7970355029327842E-2</c:v>
                </c:pt>
                <c:pt idx="18">
                  <c:v>-0.20977606673110094</c:v>
                </c:pt>
                <c:pt idx="19">
                  <c:v>-0.10632344711807498</c:v>
                </c:pt>
                <c:pt idx="20">
                  <c:v>0.31492136555427697</c:v>
                </c:pt>
                <c:pt idx="21">
                  <c:v>-0.37517146776406035</c:v>
                </c:pt>
                <c:pt idx="22">
                  <c:v>-0.27573529411764702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Lisgráfica!$C$12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Lisgráfica!$H$12:$AE$12</c:f>
              <c:numCache>
                <c:formatCode>#,##0</c:formatCode>
                <c:ptCount val="24"/>
                <c:pt idx="0">
                  <c:v>2.8030950000000003</c:v>
                </c:pt>
                <c:pt idx="1">
                  <c:v>2.3679999999999999</c:v>
                </c:pt>
                <c:pt idx="2">
                  <c:v>1.7540979999999999</c:v>
                </c:pt>
                <c:pt idx="3">
                  <c:v>-11.336024999999999</c:v>
                </c:pt>
                <c:pt idx="4">
                  <c:v>-5.89168</c:v>
                </c:pt>
                <c:pt idx="5">
                  <c:v>-5.1476620000000004</c:v>
                </c:pt>
                <c:pt idx="6">
                  <c:v>2.3457379999999999</c:v>
                </c:pt>
                <c:pt idx="7">
                  <c:v>-1.1272439999999999</c:v>
                </c:pt>
                <c:pt idx="8">
                  <c:v>-5.9547730000000003</c:v>
                </c:pt>
                <c:pt idx="9">
                  <c:v>-2.2371599999999998</c:v>
                </c:pt>
                <c:pt idx="10">
                  <c:v>-25.900008</c:v>
                </c:pt>
                <c:pt idx="11">
                  <c:v>-9.6555210000000002</c:v>
                </c:pt>
                <c:pt idx="12">
                  <c:v>-8.7981569999999998</c:v>
                </c:pt>
                <c:pt idx="13">
                  <c:v>-19.617184999999999</c:v>
                </c:pt>
                <c:pt idx="14">
                  <c:v>-7.6538729999999999</c:v>
                </c:pt>
                <c:pt idx="15">
                  <c:v>40.578513999999998</c:v>
                </c:pt>
                <c:pt idx="16">
                  <c:v>-3.6286200000000002</c:v>
                </c:pt>
                <c:pt idx="17">
                  <c:v>-1.465584</c:v>
                </c:pt>
                <c:pt idx="18">
                  <c:v>-3.9877479999999998</c:v>
                </c:pt>
                <c:pt idx="19">
                  <c:v>-1.9</c:v>
                </c:pt>
                <c:pt idx="20">
                  <c:v>8.2100000000000009</c:v>
                </c:pt>
                <c:pt idx="21">
                  <c:v>-5.47</c:v>
                </c:pt>
                <c:pt idx="22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Lisgráfica!$C$36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val>
            <c:numRef>
              <c:f>Lisgráfica!$H$36:$AE$36</c:f>
              <c:numCache>
                <c:formatCode>0.0</c:formatCode>
                <c:ptCount val="24"/>
                <c:pt idx="0">
                  <c:v>7.2602034536824469</c:v>
                </c:pt>
                <c:pt idx="1">
                  <c:v>5.8137162162162168</c:v>
                </c:pt>
                <c:pt idx="2">
                  <c:v>5.8009985759062497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1.705220276092215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9.2017475060816672E-2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0.20477466504263092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Lisgráfica!$C$38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Lisgráfica!$H$38:$AE$38</c:f>
              <c:numCache>
                <c:formatCode>0%</c:formatCode>
                <c:ptCount val="24"/>
                <c:pt idx="0">
                  <c:v>0.26329795058674066</c:v>
                </c:pt>
                <c:pt idx="1">
                  <c:v>0.26675718638230228</c:v>
                </c:pt>
                <c:pt idx="2">
                  <c:v>0.20728637293818883</c:v>
                </c:pt>
                <c:pt idx="3">
                  <c:v>8.4041238448916131E-2</c:v>
                </c:pt>
                <c:pt idx="4">
                  <c:v>0.14004665936355659</c:v>
                </c:pt>
                <c:pt idx="5">
                  <c:v>0.33504224003493371</c:v>
                </c:pt>
                <c:pt idx="6">
                  <c:v>0.42505176231247321</c:v>
                </c:pt>
                <c:pt idx="7">
                  <c:v>0.12583105595037219</c:v>
                </c:pt>
                <c:pt idx="8">
                  <c:v>-1.2087973554141653</c:v>
                </c:pt>
                <c:pt idx="9">
                  <c:v>-0.75984259919497532</c:v>
                </c:pt>
                <c:pt idx="10">
                  <c:v>24.699732328504751</c:v>
                </c:pt>
                <c:pt idx="11">
                  <c:v>0.63612225789128884</c:v>
                </c:pt>
                <c:pt idx="12">
                  <c:v>0.31823172195932353</c:v>
                </c:pt>
                <c:pt idx="13">
                  <c:v>0.42189263025737217</c:v>
                </c:pt>
                <c:pt idx="14">
                  <c:v>0.10284231306188325</c:v>
                </c:pt>
                <c:pt idx="15">
                  <c:v>-1.1768216334229529</c:v>
                </c:pt>
                <c:pt idx="16">
                  <c:v>0.32598639780509447</c:v>
                </c:pt>
                <c:pt idx="17">
                  <c:v>-4.6404864425237191E-3</c:v>
                </c:pt>
                <c:pt idx="18">
                  <c:v>0.19325071104529537</c:v>
                </c:pt>
                <c:pt idx="19">
                  <c:v>3.8640466005492556E-2</c:v>
                </c:pt>
                <c:pt idx="20">
                  <c:v>-0.59228650137741046</c:v>
                </c:pt>
                <c:pt idx="21">
                  <c:v>0.29278728606356969</c:v>
                </c:pt>
                <c:pt idx="22">
                  <c:v>9.8140495867768587E-2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Lisgráfica!$C$39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64-41AE-860A-5F75B99893E5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FC-4B83-B42B-CD21C23002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Lisgráfica!$H$39:$AE$39</c:f>
              <c:numCache>
                <c:formatCode>0%</c:formatCode>
                <c:ptCount val="24"/>
                <c:pt idx="0">
                  <c:v>9.3714519741900981E-2</c:v>
                </c:pt>
                <c:pt idx="1">
                  <c:v>7.8420982911643913E-2</c:v>
                </c:pt>
                <c:pt idx="2">
                  <c:v>4.3248058384082452E-2</c:v>
                </c:pt>
                <c:pt idx="3">
                  <c:v>-0.48950794541842985</c:v>
                </c:pt>
                <c:pt idx="4">
                  <c:v>-0.34352449150133024</c:v>
                </c:pt>
                <c:pt idx="5">
                  <c:v>-0.56421563834866439</c:v>
                </c:pt>
                <c:pt idx="6">
                  <c:v>0.21934933309793814</c:v>
                </c:pt>
                <c:pt idx="7">
                  <c:v>-0.1188044556255487</c:v>
                </c:pt>
                <c:pt idx="8">
                  <c:v>-2.0247773510074292</c:v>
                </c:pt>
                <c:pt idx="9">
                  <c:v>-3.4754321453704864</c:v>
                </c:pt>
                <c:pt idx="10">
                  <c:v>27.931885045769455</c:v>
                </c:pt>
                <c:pt idx="11">
                  <c:v>0.91238065396256585</c:v>
                </c:pt>
                <c:pt idx="12">
                  <c:v>0.45395939122438578</c:v>
                </c:pt>
                <c:pt idx="13">
                  <c:v>0.50302900506560322</c:v>
                </c:pt>
                <c:pt idx="14">
                  <c:v>0.15794091892228193</c:v>
                </c:pt>
                <c:pt idx="15">
                  <c:v>-5.148354806954365</c:v>
                </c:pt>
                <c:pt idx="16">
                  <c:v>0.31378944192467073</c:v>
                </c:pt>
                <c:pt idx="17">
                  <c:v>0.11248238893835374</c:v>
                </c:pt>
                <c:pt idx="18">
                  <c:v>0.23433631854829232</c:v>
                </c:pt>
                <c:pt idx="19">
                  <c:v>0.10042401662556594</c:v>
                </c:pt>
                <c:pt idx="20">
                  <c:v>-0.75390266299357211</c:v>
                </c:pt>
                <c:pt idx="21">
                  <c:v>0.33435207823960877</c:v>
                </c:pt>
                <c:pt idx="22">
                  <c:v>0.15495867768595042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811816352645265E-2"/>
          <c:y val="0.16150279692899772"/>
          <c:w val="0.86611275918964681"/>
          <c:h val="0.77306670192258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Lisgráfica!$C$37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dLbl>
              <c:idx val="10"/>
              <c:layout>
                <c:manualLayout>
                  <c:x val="-6.8545798171224961E-17"/>
                  <c:y val="-5.3931370420186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45-4E26-9958-96BB4A926D03}"/>
                </c:ext>
              </c:extLst>
            </c:dLbl>
            <c:dLbl>
              <c:idx val="11"/>
              <c:layout>
                <c:manualLayout>
                  <c:x val="0"/>
                  <c:y val="-6.831306919890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45-4E26-9958-96BB4A926D03}"/>
                </c:ext>
              </c:extLst>
            </c:dLbl>
            <c:dLbl>
              <c:idx val="12"/>
              <c:layout>
                <c:manualLayout>
                  <c:x val="0"/>
                  <c:y val="-5.3931370420186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45-4E26-9958-96BB4A926D03}"/>
                </c:ext>
              </c:extLst>
            </c:dLbl>
            <c:dLbl>
              <c:idx val="13"/>
              <c:layout>
                <c:manualLayout>
                  <c:x val="-1.8694524550401735E-3"/>
                  <c:y val="-6.1122219809544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45-4E26-9958-96BB4A926D03}"/>
                </c:ext>
              </c:extLst>
            </c:dLbl>
            <c:dLbl>
              <c:idx val="14"/>
              <c:layout>
                <c:manualLayout>
                  <c:x val="0"/>
                  <c:y val="-5.7526795114865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45-4E26-9958-96BB4A926D03}"/>
                </c:ext>
              </c:extLst>
            </c:dLbl>
            <c:dLbl>
              <c:idx val="15"/>
              <c:layout>
                <c:manualLayout>
                  <c:x val="-1.3709159634244992E-16"/>
                  <c:y val="-5.3931370420186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45-4E26-9958-96BB4A926D03}"/>
                </c:ext>
              </c:extLst>
            </c:dLbl>
            <c:dLbl>
              <c:idx val="16"/>
              <c:layout>
                <c:manualLayout>
                  <c:x val="0"/>
                  <c:y val="-3.5954246946790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45-4E26-9958-96BB4A926D03}"/>
                </c:ext>
              </c:extLst>
            </c:dLbl>
            <c:dLbl>
              <c:idx val="17"/>
              <c:layout>
                <c:manualLayout>
                  <c:x val="0"/>
                  <c:y val="-5.7526795114865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5-4E26-9958-96BB4A926D03}"/>
                </c:ext>
              </c:extLst>
            </c:dLbl>
            <c:dLbl>
              <c:idx val="18"/>
              <c:layout>
                <c:manualLayout>
                  <c:x val="-1.3709159634244992E-16"/>
                  <c:y val="-3.5954246946790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45-4E26-9958-96BB4A926D03}"/>
                </c:ext>
              </c:extLst>
            </c:dLbl>
            <c:dLbl>
              <c:idx val="19"/>
              <c:layout>
                <c:manualLayout>
                  <c:x val="0"/>
                  <c:y val="-4.3145096336148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45-4E26-9958-96BB4A926D03}"/>
                </c:ext>
              </c:extLst>
            </c:dLbl>
            <c:dLbl>
              <c:idx val="20"/>
              <c:layout>
                <c:manualLayout>
                  <c:x val="5.608357365119972E-3"/>
                  <c:y val="-5.7526795114865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45-4E26-9958-96BB4A926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Lisgráfica!$H$3:$AE$3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Lisgráfica!$H$37:$AE$37</c:f>
              <c:numCache>
                <c:formatCode>0.0</c:formatCode>
                <c:ptCount val="24"/>
                <c:pt idx="0">
                  <c:v>0.6803864798903414</c:v>
                </c:pt>
                <c:pt idx="1">
                  <c:v>0.45591734004503909</c:v>
                </c:pt>
                <c:pt idx="2">
                  <c:v>0.25088192509677265</c:v>
                </c:pt>
                <c:pt idx="3">
                  <c:v>0.21590810950859313</c:v>
                </c:pt>
                <c:pt idx="4">
                  <c:v>0.17078327604893195</c:v>
                </c:pt>
                <c:pt idx="5">
                  <c:v>0.30689734240054228</c:v>
                </c:pt>
                <c:pt idx="6">
                  <c:v>0.37403893034590929</c:v>
                </c:pt>
                <c:pt idx="7">
                  <c:v>0.29510245851966072</c:v>
                </c:pt>
                <c:pt idx="8">
                  <c:v>3.2642491274934105</c:v>
                </c:pt>
                <c:pt idx="9">
                  <c:v>15.535018261413965</c:v>
                </c:pt>
                <c:pt idx="10">
                  <c:v>-14.094018696023538</c:v>
                </c:pt>
                <c:pt idx="11">
                  <c:v>-1.4113242299256612</c:v>
                </c:pt>
                <c:pt idx="12">
                  <c:v>-0.48165021355523935</c:v>
                </c:pt>
                <c:pt idx="13">
                  <c:v>-0.14361971150454717</c:v>
                </c:pt>
                <c:pt idx="14">
                  <c:v>-7.7051280371346842E-2</c:v>
                </c:pt>
                <c:pt idx="15">
                  <c:v>-0.47373861005315893</c:v>
                </c:pt>
                <c:pt idx="16">
                  <c:v>-0.48434469466923219</c:v>
                </c:pt>
                <c:pt idx="17">
                  <c:v>-0.43010247628968001</c:v>
                </c:pt>
                <c:pt idx="18">
                  <c:v>-0.21954258044801733</c:v>
                </c:pt>
                <c:pt idx="19">
                  <c:v>-9.8732664766609038E-2</c:v>
                </c:pt>
                <c:pt idx="20">
                  <c:v>-0.15438016528925619</c:v>
                </c:pt>
                <c:pt idx="21">
                  <c:v>-8.5589853300733487E-2</c:v>
                </c:pt>
                <c:pt idx="22">
                  <c:v>-0.10607954545454544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Lisgráfica!$C$41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Lisgráfica!$H$41:$AE$41</c:f>
              <c:numCache>
                <c:formatCode>0.0</c:formatCode>
                <c:ptCount val="24"/>
                <c:pt idx="0">
                  <c:v>1.063659201453846</c:v>
                </c:pt>
                <c:pt idx="1">
                  <c:v>1.0621481794813392</c:v>
                </c:pt>
                <c:pt idx="2">
                  <c:v>0.55790330572662272</c:v>
                </c:pt>
                <c:pt idx="3">
                  <c:v>0.49715008534503785</c:v>
                </c:pt>
                <c:pt idx="4">
                  <c:v>0.3742308893846536</c:v>
                </c:pt>
                <c:pt idx="5">
                  <c:v>0.4790333412565454</c:v>
                </c:pt>
                <c:pt idx="6">
                  <c:v>0.74536181660854461</c:v>
                </c:pt>
                <c:pt idx="7">
                  <c:v>0.61893611039289043</c:v>
                </c:pt>
                <c:pt idx="8">
                  <c:v>0.67742776679308025</c:v>
                </c:pt>
                <c:pt idx="9">
                  <c:v>0.81723570895454001</c:v>
                </c:pt>
                <c:pt idx="10">
                  <c:v>0.38311465726195171</c:v>
                </c:pt>
                <c:pt idx="11">
                  <c:v>0.28125141638225232</c:v>
                </c:pt>
                <c:pt idx="12">
                  <c:v>0.368358199061601</c:v>
                </c:pt>
                <c:pt idx="13">
                  <c:v>0.33857139703251571</c:v>
                </c:pt>
                <c:pt idx="14">
                  <c:v>0.13039776988241061</c:v>
                </c:pt>
                <c:pt idx="15">
                  <c:v>0.4985026137712068</c:v>
                </c:pt>
                <c:pt idx="16">
                  <c:v>0.59247150690181372</c:v>
                </c:pt>
                <c:pt idx="17">
                  <c:v>0.57621072113737426</c:v>
                </c:pt>
                <c:pt idx="18">
                  <c:v>0.44760682540645563</c:v>
                </c:pt>
                <c:pt idx="19">
                  <c:v>0.3651449517277649</c:v>
                </c:pt>
                <c:pt idx="20">
                  <c:v>1.0863723608445297</c:v>
                </c:pt>
                <c:pt idx="21">
                  <c:v>0.44230769230769235</c:v>
                </c:pt>
                <c:pt idx="22">
                  <c:v>0.33217993079584773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Lisgráfica!$C$45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Lisgráfica!$H$45:$AE$45</c:f>
              <c:numCache>
                <c:formatCode>0.0</c:formatCode>
                <c:ptCount val="24"/>
                <c:pt idx="0">
                  <c:v>2.3687272240981576</c:v>
                </c:pt>
                <c:pt idx="1">
                  <c:v>3.3348456749238307</c:v>
                </c:pt>
                <c:pt idx="2">
                  <c:v>3.3432037279025622</c:v>
                </c:pt>
                <c:pt idx="3">
                  <c:v>6.4234389843682518</c:v>
                </c:pt>
                <c:pt idx="4">
                  <c:v>7.6570559518209311</c:v>
                </c:pt>
                <c:pt idx="5">
                  <c:v>14.369679879766391</c:v>
                </c:pt>
                <c:pt idx="6">
                  <c:v>7.2168199883412054</c:v>
                </c:pt>
                <c:pt idx="7">
                  <c:v>7.4192548030559964</c:v>
                </c:pt>
                <c:pt idx="8">
                  <c:v>25.330295768173027</c:v>
                </c:pt>
                <c:pt idx="9">
                  <c:v>93.87149743594523</c:v>
                </c:pt>
                <c:pt idx="10">
                  <c:v>-81.792684005280108</c:v>
                </c:pt>
                <c:pt idx="11">
                  <c:v>-7.7023715986834072</c:v>
                </c:pt>
                <c:pt idx="12">
                  <c:v>-4.1835655598435046</c:v>
                </c:pt>
                <c:pt idx="13">
                  <c:v>-2.1015073829586499</c:v>
                </c:pt>
                <c:pt idx="14">
                  <c:v>-1.6940440902671887</c:v>
                </c:pt>
                <c:pt idx="15">
                  <c:v>-4.6427215418326764</c:v>
                </c:pt>
                <c:pt idx="16">
                  <c:v>-3.0074244182461767</c:v>
                </c:pt>
                <c:pt idx="17">
                  <c:v>-2.6399864215328148</c:v>
                </c:pt>
                <c:pt idx="18">
                  <c:v>-2.0571001104764592</c:v>
                </c:pt>
                <c:pt idx="19">
                  <c:v>-1.8775610304497778</c:v>
                </c:pt>
                <c:pt idx="20">
                  <c:v>-2.3994490358126721</c:v>
                </c:pt>
                <c:pt idx="21">
                  <c:v>-1.7860635696821516</c:v>
                </c:pt>
                <c:pt idx="22">
                  <c:v>-1.5227272727272727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Martifer!$C$26</c:f>
              <c:strCache>
                <c:ptCount val="1"/>
                <c:pt idx="0">
                  <c:v>Valor de Mercado Martifer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Martifer!$D$25:$T$25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Martifer!$D$26:$S$26</c:f>
              <c:numCache>
                <c:formatCode>#,##0</c:formatCode>
                <c:ptCount val="16"/>
                <c:pt idx="0">
                  <c:v>899.84399999999994</c:v>
                </c:pt>
                <c:pt idx="1">
                  <c:v>716.6479923500001</c:v>
                </c:pt>
                <c:pt idx="2">
                  <c:v>376</c:v>
                </c:pt>
                <c:pt idx="3">
                  <c:v>334</c:v>
                </c:pt>
                <c:pt idx="4">
                  <c:v>149</c:v>
                </c:pt>
                <c:pt idx="5">
                  <c:v>108</c:v>
                </c:pt>
                <c:pt idx="6">
                  <c:v>56.000000000000007</c:v>
                </c:pt>
                <c:pt idx="7">
                  <c:v>69</c:v>
                </c:pt>
                <c:pt idx="8">
                  <c:v>18.7</c:v>
                </c:pt>
                <c:pt idx="9">
                  <c:v>22.7</c:v>
                </c:pt>
                <c:pt idx="10">
                  <c:v>17.899999999999999</c:v>
                </c:pt>
                <c:pt idx="11">
                  <c:v>32.6</c:v>
                </c:pt>
                <c:pt idx="12">
                  <c:v>43</c:v>
                </c:pt>
                <c:pt idx="13">
                  <c:v>37.9</c:v>
                </c:pt>
                <c:pt idx="14">
                  <c:v>39</c:v>
                </c:pt>
                <c:pt idx="15">
                  <c:v>85.6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Martifer!$C$5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91-407D-8723-551104916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Martifer!$D$3:$S$3</c:f>
              <c:strCach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</c:strCache>
            </c:strRef>
          </c:cat>
          <c:val>
            <c:numRef>
              <c:f>Martifer!$D$5:$S$5</c:f>
              <c:numCache>
                <c:formatCode>#,##0</c:formatCode>
                <c:ptCount val="16"/>
                <c:pt idx="0">
                  <c:v>74.986999999999995</c:v>
                </c:pt>
                <c:pt idx="1">
                  <c:v>87.932269000000005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48915056"/>
        <c:axId val="1148909480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114890948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915056"/>
        <c:crosses val="max"/>
        <c:crossBetween val="between"/>
      </c:valAx>
      <c:catAx>
        <c:axId val="1148915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90948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Martifer!$C$6</c:f>
              <c:strCache>
                <c:ptCount val="1"/>
                <c:pt idx="0">
                  <c:v>Vendas Martifer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Martifer!$D$3:$T$3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Martifer!$D$6:$T$6</c:f>
              <c:numCache>
                <c:formatCode>#,##0</c:formatCode>
                <c:ptCount val="17"/>
                <c:pt idx="0">
                  <c:v>278.7</c:v>
                </c:pt>
                <c:pt idx="1">
                  <c:v>518.5</c:v>
                </c:pt>
                <c:pt idx="2">
                  <c:v>635.1</c:v>
                </c:pt>
                <c:pt idx="3">
                  <c:v>606.1</c:v>
                </c:pt>
                <c:pt idx="4">
                  <c:v>591.63932999999997</c:v>
                </c:pt>
                <c:pt idx="5">
                  <c:v>550.11222999999995</c:v>
                </c:pt>
                <c:pt idx="6">
                  <c:v>517.9</c:v>
                </c:pt>
                <c:pt idx="7">
                  <c:v>592.9</c:v>
                </c:pt>
                <c:pt idx="8">
                  <c:v>225.8</c:v>
                </c:pt>
                <c:pt idx="9">
                  <c:v>252.6</c:v>
                </c:pt>
                <c:pt idx="10">
                  <c:v>217.1</c:v>
                </c:pt>
                <c:pt idx="11">
                  <c:v>185.6</c:v>
                </c:pt>
                <c:pt idx="12">
                  <c:v>217.4</c:v>
                </c:pt>
                <c:pt idx="13">
                  <c:v>266.89999999999998</c:v>
                </c:pt>
                <c:pt idx="14">
                  <c:v>249.3</c:v>
                </c:pt>
                <c:pt idx="15">
                  <c:v>270</c:v>
                </c:pt>
                <c:pt idx="16" formatCode="General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Martifer!$C$27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10"/>
              <c:numFmt formatCode="#,##0.00" sourceLinked="0"/>
              <c:spPr>
                <a:solidFill>
                  <a:srgbClr val="00FF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9C2-4005-8753-B79D4AC80D4F}"/>
                </c:ext>
              </c:extLst>
            </c:dLbl>
            <c:numFmt formatCode="#,##0.00" sourceLinked="0"/>
            <c:spPr>
              <a:solidFill>
                <a:sysClr val="window" lastClr="FFFFFF">
                  <a:lumMod val="85000"/>
                </a:sys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Martifer!$D$27:$T$27</c:f>
              <c:numCache>
                <c:formatCode>0.0</c:formatCode>
                <c:ptCount val="17"/>
                <c:pt idx="0">
                  <c:v>3.228719052744887</c:v>
                </c:pt>
                <c:pt idx="1">
                  <c:v>1.3821562051108971</c:v>
                </c:pt>
                <c:pt idx="2">
                  <c:v>0.59203275074791373</c:v>
                </c:pt>
                <c:pt idx="3">
                  <c:v>0.55106418082824615</c:v>
                </c:pt>
                <c:pt idx="4">
                  <c:v>0.25184262175403382</c:v>
                </c:pt>
                <c:pt idx="5">
                  <c:v>0.19632357564564601</c:v>
                </c:pt>
                <c:pt idx="6">
                  <c:v>0.10812898242904037</c:v>
                </c:pt>
                <c:pt idx="7">
                  <c:v>0.11637712936414235</c:v>
                </c:pt>
                <c:pt idx="8">
                  <c:v>8.2816651904340122E-2</c:v>
                </c:pt>
                <c:pt idx="9">
                  <c:v>8.9865399841646876E-2</c:v>
                </c:pt>
                <c:pt idx="10">
                  <c:v>8.2450483648088435E-2</c:v>
                </c:pt>
                <c:pt idx="11">
                  <c:v>0.17564655172413796</c:v>
                </c:pt>
                <c:pt idx="12">
                  <c:v>0.19779208831646733</c:v>
                </c:pt>
                <c:pt idx="13">
                  <c:v>0.14200074934432372</c:v>
                </c:pt>
                <c:pt idx="14">
                  <c:v>0.15643802647412755</c:v>
                </c:pt>
                <c:pt idx="15">
                  <c:v>0.31703703703703701</c:v>
                </c:pt>
                <c:pt idx="16">
                  <c:v>0.46500000000000002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Martifer!$C$7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Martifer!$D$3:$S$3</c:f>
              <c:strCach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</c:strCache>
            </c:strRef>
          </c:cat>
          <c:val>
            <c:numRef>
              <c:f>Martifer!$D$7:$S$7</c:f>
              <c:numCache>
                <c:formatCode>#,##0</c:formatCode>
                <c:ptCount val="16"/>
                <c:pt idx="0">
                  <c:v>24.9</c:v>
                </c:pt>
                <c:pt idx="1">
                  <c:v>37</c:v>
                </c:pt>
                <c:pt idx="2">
                  <c:v>61.7</c:v>
                </c:pt>
                <c:pt idx="3">
                  <c:v>66.8</c:v>
                </c:pt>
                <c:pt idx="4">
                  <c:v>56.6</c:v>
                </c:pt>
                <c:pt idx="5">
                  <c:v>8.9</c:v>
                </c:pt>
                <c:pt idx="6">
                  <c:v>3.9</c:v>
                </c:pt>
                <c:pt idx="7">
                  <c:v>29.3</c:v>
                </c:pt>
                <c:pt idx="8">
                  <c:v>-32.700000000000003</c:v>
                </c:pt>
                <c:pt idx="9">
                  <c:v>11.5</c:v>
                </c:pt>
                <c:pt idx="10">
                  <c:v>-6.9</c:v>
                </c:pt>
                <c:pt idx="11">
                  <c:v>-3.8</c:v>
                </c:pt>
                <c:pt idx="12">
                  <c:v>16.5</c:v>
                </c:pt>
                <c:pt idx="13">
                  <c:v>26.8</c:v>
                </c:pt>
                <c:pt idx="1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Martifer!$C$28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Martifer!$D$28:$S$28</c:f>
              <c:numCache>
                <c:formatCode>0.0</c:formatCode>
                <c:ptCount val="16"/>
                <c:pt idx="0">
                  <c:v>36.138313253012051</c:v>
                </c:pt>
                <c:pt idx="1">
                  <c:v>19.368864658108112</c:v>
                </c:pt>
                <c:pt idx="2">
                  <c:v>6.0940032414910856</c:v>
                </c:pt>
                <c:pt idx="3">
                  <c:v>5</c:v>
                </c:pt>
                <c:pt idx="4">
                  <c:v>2.6325088339222615</c:v>
                </c:pt>
                <c:pt idx="5">
                  <c:v>12.134831460674157</c:v>
                </c:pt>
                <c:pt idx="6">
                  <c:v>14.358974358974361</c:v>
                </c:pt>
                <c:pt idx="7">
                  <c:v>2.3549488054607508</c:v>
                </c:pt>
                <c:pt idx="8">
                  <c:v>-0.57186544342507639</c:v>
                </c:pt>
                <c:pt idx="9">
                  <c:v>1.9739130434782608</c:v>
                </c:pt>
                <c:pt idx="10">
                  <c:v>-2.5942028985507242</c:v>
                </c:pt>
                <c:pt idx="11">
                  <c:v>-8.5789473684210531</c:v>
                </c:pt>
                <c:pt idx="12">
                  <c:v>2.606060606060606</c:v>
                </c:pt>
                <c:pt idx="13">
                  <c:v>1.4141791044776117</c:v>
                </c:pt>
                <c:pt idx="14">
                  <c:v>2.0526315789473686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BCP!$C$38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BCP!$D$38:$AA$38</c:f>
              <c:numCache>
                <c:formatCode>0%</c:formatCode>
                <c:ptCount val="24"/>
                <c:pt idx="0">
                  <c:v>0.13328076737379296</c:v>
                </c:pt>
                <c:pt idx="1">
                  <c:v>0.10761524577822992</c:v>
                </c:pt>
                <c:pt idx="2">
                  <c:v>0.34143808083228833</c:v>
                </c:pt>
                <c:pt idx="3">
                  <c:v>0.31190481694589828</c:v>
                </c:pt>
                <c:pt idx="4">
                  <c:v>0.74316961864284803</c:v>
                </c:pt>
                <c:pt idx="5">
                  <c:v>0.64913082454875271</c:v>
                </c:pt>
                <c:pt idx="6">
                  <c:v>5.436462668457976E-2</c:v>
                </c:pt>
                <c:pt idx="7">
                  <c:v>0.16978696311619679</c:v>
                </c:pt>
                <c:pt idx="8">
                  <c:v>0.16916464404002668</c:v>
                </c:pt>
                <c:pt idx="9">
                  <c:v>0.12844177329002063</c:v>
                </c:pt>
                <c:pt idx="10">
                  <c:v>5.3028743801848646E-2</c:v>
                </c:pt>
                <c:pt idx="11">
                  <c:v>2.1372559637081814E-2</c:v>
                </c:pt>
                <c:pt idx="12">
                  <c:v>6.2981134973780217E-2</c:v>
                </c:pt>
                <c:pt idx="13">
                  <c:v>-0.27646838287570552</c:v>
                </c:pt>
                <c:pt idx="14">
                  <c:v>-0.14260979733952503</c:v>
                </c:pt>
                <c:pt idx="15">
                  <c:v>-0.25582818040617766</c:v>
                </c:pt>
                <c:pt idx="16">
                  <c:v>-5.1095799460467176E-2</c:v>
                </c:pt>
                <c:pt idx="17">
                  <c:v>8.853990914990266E-2</c:v>
                </c:pt>
                <c:pt idx="18">
                  <c:v>0.30053973924925764</c:v>
                </c:pt>
                <c:pt idx="19">
                  <c:v>0.15494633531853874</c:v>
                </c:pt>
                <c:pt idx="20">
                  <c:v>0.2005190311418685</c:v>
                </c:pt>
                <c:pt idx="21">
                  <c:v>0.19101307189542482</c:v>
                </c:pt>
                <c:pt idx="22">
                  <c:v>0.19787815463751809</c:v>
                </c:pt>
                <c:pt idx="23">
                  <c:v>0.17204643027508348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BCP!$C$39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AA-46B7-8E88-5BF3D4E98A54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AA-46B7-8E88-5BF3D4E98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BCP!$D$39:$AA$39</c:f>
              <c:numCache>
                <c:formatCode>0%</c:formatCode>
                <c:ptCount val="24"/>
                <c:pt idx="0">
                  <c:v>0.11173746626562904</c:v>
                </c:pt>
                <c:pt idx="1">
                  <c:v>0.13311739751488225</c:v>
                </c:pt>
                <c:pt idx="2">
                  <c:v>0.31291889100758447</c:v>
                </c:pt>
                <c:pt idx="3">
                  <c:v>0.11713177074807382</c:v>
                </c:pt>
                <c:pt idx="4">
                  <c:v>0.12462049121261404</c:v>
                </c:pt>
                <c:pt idx="5">
                  <c:v>0.15349774551698789</c:v>
                </c:pt>
                <c:pt idx="6">
                  <c:v>0.17490300537254275</c:v>
                </c:pt>
                <c:pt idx="7">
                  <c:v>0.18263436490932242</c:v>
                </c:pt>
                <c:pt idx="8">
                  <c:v>0.17284399466821679</c:v>
                </c:pt>
                <c:pt idx="9">
                  <c:v>0.12627348443794004</c:v>
                </c:pt>
                <c:pt idx="10">
                  <c:v>4.1293427870979227E-2</c:v>
                </c:pt>
                <c:pt idx="11">
                  <c:v>3.4525532555183279E-2</c:v>
                </c:pt>
                <c:pt idx="12">
                  <c:v>7.1951658715578681E-2</c:v>
                </c:pt>
                <c:pt idx="13">
                  <c:v>-0.1743725382169318</c:v>
                </c:pt>
                <c:pt idx="14">
                  <c:v>-0.28428913841049469</c:v>
                </c:pt>
                <c:pt idx="15">
                  <c:v>-0.19743159550254474</c:v>
                </c:pt>
                <c:pt idx="16">
                  <c:v>-2.3373205074808893E-2</c:v>
                </c:pt>
                <c:pt idx="17">
                  <c:v>7.8079385680294183E-2</c:v>
                </c:pt>
                <c:pt idx="18">
                  <c:v>-4.8606654867192015E-3</c:v>
                </c:pt>
                <c:pt idx="19">
                  <c:v>3.0652141201467236E-2</c:v>
                </c:pt>
                <c:pt idx="20">
                  <c:v>5.2093425605536335E-2</c:v>
                </c:pt>
                <c:pt idx="21">
                  <c:v>4.9346405228758168E-2</c:v>
                </c:pt>
                <c:pt idx="22">
                  <c:v>2.9418099983925413E-2</c:v>
                </c:pt>
                <c:pt idx="23">
                  <c:v>1.8584830656702179E-2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Martifer!$C$32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D7-4308-AE49-A31C2BF9CE2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D7-4308-AE49-A31C2BF9C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Martifer!$D$3:$S$3</c:f>
              <c:strCach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</c:strCache>
            </c:strRef>
          </c:cat>
          <c:val>
            <c:numRef>
              <c:f>Martifer!$D$32:$S$32</c:f>
              <c:numCache>
                <c:formatCode>0.0%</c:formatCode>
                <c:ptCount val="16"/>
                <c:pt idx="0">
                  <c:v>8.9343379978471471E-2</c:v>
                </c:pt>
                <c:pt idx="1">
                  <c:v>7.1359691417550622E-2</c:v>
                </c:pt>
                <c:pt idx="2">
                  <c:v>9.7150055109431588E-2</c:v>
                </c:pt>
                <c:pt idx="3">
                  <c:v>0.11021283616564923</c:v>
                </c:pt>
                <c:pt idx="4">
                  <c:v>9.5666391887773927E-2</c:v>
                </c:pt>
                <c:pt idx="5">
                  <c:v>1.6178516881909716E-2</c:v>
                </c:pt>
                <c:pt idx="6">
                  <c:v>7.5304112763081681E-3</c:v>
                </c:pt>
                <c:pt idx="7">
                  <c:v>4.941811435317929E-2</c:v>
                </c:pt>
                <c:pt idx="8">
                  <c:v>-0.14481842338352524</c:v>
                </c:pt>
                <c:pt idx="9">
                  <c:v>4.5526524148851943E-2</c:v>
                </c:pt>
                <c:pt idx="10">
                  <c:v>-3.1782588668816218E-2</c:v>
                </c:pt>
                <c:pt idx="11">
                  <c:v>-2.0474137931034482E-2</c:v>
                </c:pt>
                <c:pt idx="12">
                  <c:v>7.5896964121435137E-2</c:v>
                </c:pt>
                <c:pt idx="13">
                  <c:v>0.10041213937804422</c:v>
                </c:pt>
                <c:pt idx="14">
                  <c:v>7.6213397513036504E-2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Martifer!$C$33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D7-4308-AE49-A31C2BF9CE29}"/>
                </c:ext>
              </c:extLst>
            </c:dLbl>
            <c:dLbl>
              <c:idx val="1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7-4308-AE49-A31C2BF9C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Martifer!$D$3:$S$3</c:f>
              <c:strCach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</c:strCache>
            </c:strRef>
          </c:cat>
          <c:val>
            <c:numRef>
              <c:f>Martifer!$D$33:$S$33</c:f>
              <c:numCache>
                <c:formatCode>0.0%</c:formatCode>
                <c:ptCount val="16"/>
                <c:pt idx="0">
                  <c:v>6.0638679583781843E-2</c:v>
                </c:pt>
                <c:pt idx="1">
                  <c:v>4.20443587270974E-2</c:v>
                </c:pt>
                <c:pt idx="2">
                  <c:v>6.2352385451110062E-2</c:v>
                </c:pt>
                <c:pt idx="3">
                  <c:v>6.3190892591981518E-2</c:v>
                </c:pt>
                <c:pt idx="4">
                  <c:v>-3.6677750953439829E-2</c:v>
                </c:pt>
                <c:pt idx="5">
                  <c:v>-3.7810466420642931E-2</c:v>
                </c:pt>
                <c:pt idx="6">
                  <c:v>-3.0700907511102531E-2</c:v>
                </c:pt>
                <c:pt idx="7">
                  <c:v>-3.592511384719177E-2</c:v>
                </c:pt>
                <c:pt idx="8">
                  <c:v>-0.20947741364038971</c:v>
                </c:pt>
                <c:pt idx="9">
                  <c:v>-1.9794140934283454E-3</c:v>
                </c:pt>
                <c:pt idx="10">
                  <c:v>-8.1068631966835572E-2</c:v>
                </c:pt>
                <c:pt idx="11">
                  <c:v>-7.7586206896551727E-2</c:v>
                </c:pt>
                <c:pt idx="12">
                  <c:v>3.5418583256669731E-2</c:v>
                </c:pt>
                <c:pt idx="13">
                  <c:v>6.8565005620082442E-2</c:v>
                </c:pt>
                <c:pt idx="14">
                  <c:v>5.2146008824709184E-2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Martifer!$C$35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7-4308-AE49-A31C2BF9CE29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7-4308-AE49-A31C2BF9C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Martifer!$D$3:$S$3</c:f>
              <c:strCach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</c:strCache>
            </c:strRef>
          </c:cat>
          <c:val>
            <c:numRef>
              <c:f>Martifer!$D$35:$S$35</c:f>
              <c:numCache>
                <c:formatCode>0.0%</c:formatCode>
                <c:ptCount val="16"/>
                <c:pt idx="0">
                  <c:v>3.6957301758162905E-2</c:v>
                </c:pt>
                <c:pt idx="1">
                  <c:v>2.4300867888138861E-2</c:v>
                </c:pt>
                <c:pt idx="2">
                  <c:v>6.928042827901118E-3</c:v>
                </c:pt>
                <c:pt idx="3">
                  <c:v>-9.4043887147335428E-3</c:v>
                </c:pt>
                <c:pt idx="4">
                  <c:v>-9.2623997799470156E-2</c:v>
                </c:pt>
                <c:pt idx="5">
                  <c:v>-9.0163419926148528E-2</c:v>
                </c:pt>
                <c:pt idx="6">
                  <c:v>-0.10793589496041707</c:v>
                </c:pt>
                <c:pt idx="7">
                  <c:v>-0.11637712936414235</c:v>
                </c:pt>
                <c:pt idx="8">
                  <c:v>-0.41408325952170061</c:v>
                </c:pt>
                <c:pt idx="9">
                  <c:v>-1.9794140934283454E-3</c:v>
                </c:pt>
                <c:pt idx="10">
                  <c:v>-0.20082911100875173</c:v>
                </c:pt>
                <c:pt idx="11">
                  <c:v>3.5021551724137935E-2</c:v>
                </c:pt>
                <c:pt idx="12">
                  <c:v>5.9797608095676176E-3</c:v>
                </c:pt>
                <c:pt idx="13">
                  <c:v>8.8047958036717874E-2</c:v>
                </c:pt>
                <c:pt idx="14">
                  <c:v>2.5270758122743681E-2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Martifer!$C$12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121-4AB7-B932-38A11E6ADAA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121-4AB7-B932-38A11E6ADAAE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121-4AB7-B932-38A11E6ADAAE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121-4AB7-B932-38A11E6ADAA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121-4AB7-B932-38A11E6ADAAE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121-4AB7-B932-38A11E6ADAA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121-4AB7-B932-38A11E6ADAAE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121-4AB7-B932-38A11E6ADAA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121-4AB7-B932-38A11E6ADAA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121-4AB7-B932-38A11E6ADAAE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121-4AB7-B932-38A11E6ADAAE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121-4AB7-B932-38A11E6ADAAE}"/>
                </c:ext>
              </c:extLst>
            </c:dLbl>
            <c:dLbl>
              <c:idx val="12"/>
              <c:layout>
                <c:manualLayout>
                  <c:x val="0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1-4AB7-B932-38A11E6ADAAE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1-4AB7-B932-38A11E6ADAAE}"/>
                </c:ext>
              </c:extLst>
            </c:dLbl>
            <c:dLbl>
              <c:idx val="1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121-4AB7-B932-38A11E6ADAAE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121-4AB7-B932-38A11E6ADAAE}"/>
                </c:ext>
              </c:extLst>
            </c:dLbl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FF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121-4AB7-B932-38A11E6AD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Martifer!$D$3:$T$3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Martifer!$D$12:$T$12</c:f>
              <c:numCache>
                <c:formatCode>#,##0</c:formatCode>
                <c:ptCount val="17"/>
                <c:pt idx="0">
                  <c:v>10.3</c:v>
                </c:pt>
                <c:pt idx="1">
                  <c:v>12.6</c:v>
                </c:pt>
                <c:pt idx="2">
                  <c:v>4.4000000000000004</c:v>
                </c:pt>
                <c:pt idx="3">
                  <c:v>-5.7</c:v>
                </c:pt>
                <c:pt idx="4">
                  <c:v>-54.8</c:v>
                </c:pt>
                <c:pt idx="5">
                  <c:v>-49.6</c:v>
                </c:pt>
                <c:pt idx="6">
                  <c:v>-55.9</c:v>
                </c:pt>
                <c:pt idx="7">
                  <c:v>-69</c:v>
                </c:pt>
                <c:pt idx="8">
                  <c:v>-93.5</c:v>
                </c:pt>
                <c:pt idx="9">
                  <c:v>-0.5</c:v>
                </c:pt>
                <c:pt idx="10">
                  <c:v>-43.6</c:v>
                </c:pt>
                <c:pt idx="11">
                  <c:v>6.5</c:v>
                </c:pt>
                <c:pt idx="12">
                  <c:v>1.3</c:v>
                </c:pt>
                <c:pt idx="13">
                  <c:v>23.5</c:v>
                </c:pt>
                <c:pt idx="14">
                  <c:v>6.3</c:v>
                </c:pt>
                <c:pt idx="15">
                  <c:v>12</c:v>
                </c:pt>
                <c:pt idx="16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Martifer!$C$5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9050">
                <a:solidFill>
                  <a:srgbClr val="00B0F0"/>
                </a:solidFill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1-4AB7-B932-38A11E6ADA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1-4AB7-B932-38A11E6ADAA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1-4AB7-B932-38A11E6ADAAE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1-4AB7-B932-38A11E6ADAAE}"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Martifer!$D$3:$S$3</c:f>
              <c:strCach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</c:strCache>
            </c:strRef>
          </c:cat>
          <c:val>
            <c:numRef>
              <c:f>Martifer!$D$5:$T$5</c:f>
              <c:numCache>
                <c:formatCode>#,##0</c:formatCode>
                <c:ptCount val="17"/>
                <c:pt idx="0">
                  <c:v>74.986999999999995</c:v>
                </c:pt>
                <c:pt idx="1">
                  <c:v>87.932269000000005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21-4AB7-B932-38A11E6A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321768"/>
        <c:axId val="856321112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856321112"/>
        <c:scaling>
          <c:orientation val="minMax"/>
          <c:max val="12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321768"/>
        <c:crosses val="max"/>
        <c:crossBetween val="between"/>
      </c:valAx>
      <c:catAx>
        <c:axId val="856321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6321112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Martifer!$C$38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D7-4B7C-9C5B-8B24D5241CBF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7-4B7C-9C5B-8B24D5241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Martifer!$D$3:$S$3</c:f>
              <c:strCach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</c:strCache>
            </c:strRef>
          </c:cat>
          <c:val>
            <c:numRef>
              <c:f>Martifer!$D$38:$S$38</c:f>
              <c:numCache>
                <c:formatCode>0%</c:formatCode>
                <c:ptCount val="16"/>
                <c:pt idx="0">
                  <c:v>0.2380281690140845</c:v>
                </c:pt>
                <c:pt idx="1">
                  <c:v>7.6491228070175443E-2</c:v>
                </c:pt>
                <c:pt idx="2">
                  <c:v>0.11867296972372943</c:v>
                </c:pt>
                <c:pt idx="3">
                  <c:v>8.7437326984388011E-2</c:v>
                </c:pt>
                <c:pt idx="4">
                  <c:v>-6.375589209845875E-2</c:v>
                </c:pt>
                <c:pt idx="5">
                  <c:v>-7.3416091504828154E-2</c:v>
                </c:pt>
                <c:pt idx="6">
                  <c:v>-6.9965388650275379E-2</c:v>
                </c:pt>
                <c:pt idx="7">
                  <c:v>-0.15247829632520435</c:v>
                </c:pt>
                <c:pt idx="8">
                  <c:v>-1.173980220096223</c:v>
                </c:pt>
                <c:pt idx="9">
                  <c:v>-1.2484459656730793E-2</c:v>
                </c:pt>
                <c:pt idx="10">
                  <c:v>2.285714285714286</c:v>
                </c:pt>
                <c:pt idx="11">
                  <c:v>2.25</c:v>
                </c:pt>
                <c:pt idx="12">
                  <c:v>-0.5539568345323741</c:v>
                </c:pt>
                <c:pt idx="13">
                  <c:v>2.4078947368421053</c:v>
                </c:pt>
                <c:pt idx="14">
                  <c:v>1.7567567567567566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Martifer!$C$39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7-4B7C-9C5B-8B24D5241CB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7-4B7C-9C5B-8B24D5241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Martifer!$D$3:$S$3</c:f>
              <c:strCach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</c:strCache>
            </c:strRef>
          </c:cat>
          <c:val>
            <c:numRef>
              <c:f>Martifer!$D$39:$S$39</c:f>
              <c:numCache>
                <c:formatCode>0%</c:formatCode>
                <c:ptCount val="16"/>
                <c:pt idx="0">
                  <c:v>0.14507042253521127</c:v>
                </c:pt>
                <c:pt idx="1">
                  <c:v>4.4210526315789471E-2</c:v>
                </c:pt>
                <c:pt idx="2">
                  <c:v>1.3185885524858826E-2</c:v>
                </c:pt>
                <c:pt idx="3">
                  <c:v>-1.3012865895848871E-2</c:v>
                </c:pt>
                <c:pt idx="4">
                  <c:v>-0.16100566299518615</c:v>
                </c:pt>
                <c:pt idx="5">
                  <c:v>-0.17506914128074405</c:v>
                </c:pt>
                <c:pt idx="6">
                  <c:v>-0.24597894500316941</c:v>
                </c:pt>
                <c:pt idx="7">
                  <c:v>-0.49394377682812668</c:v>
                </c:pt>
                <c:pt idx="8">
                  <c:v>-2.3206585746088133</c:v>
                </c:pt>
                <c:pt idx="9">
                  <c:v>-1.2484459656730793E-2</c:v>
                </c:pt>
                <c:pt idx="10">
                  <c:v>5.662337662337662</c:v>
                </c:pt>
                <c:pt idx="11">
                  <c:v>-1.015625</c:v>
                </c:pt>
                <c:pt idx="12">
                  <c:v>-9.3525179856115109E-2</c:v>
                </c:pt>
                <c:pt idx="13">
                  <c:v>3.0921052631578947</c:v>
                </c:pt>
                <c:pt idx="14">
                  <c:v>0.85135135135135132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Martifer!$C$37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Martifer!$D$3:$S$3</c:f>
              <c:strCach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</c:strCache>
            </c:strRef>
          </c:cat>
          <c:val>
            <c:numRef>
              <c:f>Martifer!$D$37:$S$37</c:f>
              <c:numCache>
                <c:formatCode>0.0</c:formatCode>
                <c:ptCount val="16"/>
                <c:pt idx="0">
                  <c:v>12.673859154929577</c:v>
                </c:pt>
                <c:pt idx="1">
                  <c:v>2.5145543591228074</c:v>
                </c:pt>
                <c:pt idx="2">
                  <c:v>1.1267938539424813</c:v>
                </c:pt>
                <c:pt idx="3">
                  <c:v>0.76250828231816192</c:v>
                </c:pt>
                <c:pt idx="4">
                  <c:v>0.43777087201245873</c:v>
                </c:pt>
                <c:pt idx="5">
                  <c:v>0.38119893665968463</c:v>
                </c:pt>
                <c:pt idx="6">
                  <c:v>0.24641897889405168</c:v>
                </c:pt>
                <c:pt idx="7">
                  <c:v>0.49394377682812668</c:v>
                </c:pt>
                <c:pt idx="8">
                  <c:v>0.46413171492176264</c:v>
                </c:pt>
                <c:pt idx="9">
                  <c:v>0.56679446841557801</c:v>
                </c:pt>
                <c:pt idx="10">
                  <c:v>-2.3246753246753245</c:v>
                </c:pt>
                <c:pt idx="11">
                  <c:v>-5.09375</c:v>
                </c:pt>
                <c:pt idx="12">
                  <c:v>-3.093525179856115</c:v>
                </c:pt>
                <c:pt idx="13">
                  <c:v>4.9868421052631575</c:v>
                </c:pt>
                <c:pt idx="14">
                  <c:v>5.2702702702702702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Martifer!$C$41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Martifer!$D$41:$S$41</c:f>
              <c:numCache>
                <c:formatCode>0.0</c:formatCode>
                <c:ptCount val="16"/>
                <c:pt idx="0">
                  <c:v>1.278654520273955</c:v>
                </c:pt>
                <c:pt idx="1">
                  <c:v>1.1977522525561912</c:v>
                </c:pt>
                <c:pt idx="2">
                  <c:v>0.8504758282010797</c:v>
                </c:pt>
                <c:pt idx="3">
                  <c:v>1.0482334446620205</c:v>
                </c:pt>
                <c:pt idx="4">
                  <c:v>1.028130244311984</c:v>
                </c:pt>
                <c:pt idx="5">
                  <c:v>1.0231087372613019</c:v>
                </c:pt>
                <c:pt idx="6">
                  <c:v>0.85581945149926075</c:v>
                </c:pt>
                <c:pt idx="7">
                  <c:v>1.0512307441831326</c:v>
                </c:pt>
                <c:pt idx="8">
                  <c:v>1.023545936298871</c:v>
                </c:pt>
                <c:pt idx="9">
                  <c:v>1.3302989801091463</c:v>
                </c:pt>
                <c:pt idx="10">
                  <c:v>1.3679753073850491</c:v>
                </c:pt>
                <c:pt idx="11">
                  <c:v>1.1680360523593625</c:v>
                </c:pt>
                <c:pt idx="12">
                  <c:v>1.0964705882352943</c:v>
                </c:pt>
                <c:pt idx="13">
                  <c:v>1.0595588235294118</c:v>
                </c:pt>
                <c:pt idx="14">
                  <c:v>1.2369121561668146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Martifer!$C$45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Martifer!$D$45:$S$45</c:f>
              <c:numCache>
                <c:formatCode>0.0</c:formatCode>
                <c:ptCount val="16"/>
                <c:pt idx="0">
                  <c:v>3.915492957746479</c:v>
                </c:pt>
                <c:pt idx="1">
                  <c:v>1.8035087719298246</c:v>
                </c:pt>
                <c:pt idx="2">
                  <c:v>3.0534315366542399</c:v>
                </c:pt>
                <c:pt idx="3">
                  <c:v>2.24802965748112</c:v>
                </c:pt>
                <c:pt idx="4">
                  <c:v>2.219224940538743</c:v>
                </c:pt>
                <c:pt idx="5">
                  <c:v>2.6631570680627346</c:v>
                </c:pt>
                <c:pt idx="6">
                  <c:v>3.2963817821692043</c:v>
                </c:pt>
                <c:pt idx="7">
                  <c:v>4.6393564150253637</c:v>
                </c:pt>
                <c:pt idx="8">
                  <c:v>14.703295610676587</c:v>
                </c:pt>
                <c:pt idx="9">
                  <c:v>14.147389683007335</c:v>
                </c:pt>
                <c:pt idx="10">
                  <c:v>-55.220779220779221</c:v>
                </c:pt>
                <c:pt idx="11">
                  <c:v>-59.765625</c:v>
                </c:pt>
                <c:pt idx="12">
                  <c:v>-24</c:v>
                </c:pt>
                <c:pt idx="13">
                  <c:v>36.842105263157897</c:v>
                </c:pt>
                <c:pt idx="14">
                  <c:v>35.445945945945944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'Mota-Engil'!$C$26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0"/>
                  <c:y val="-5.644444444444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77-47C8-A3F8-598303A61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'Mota-Engil'!$H$26:$AE$26</c:f>
              <c:numCache>
                <c:formatCode>0</c:formatCode>
                <c:ptCount val="24"/>
                <c:pt idx="0">
                  <c:v>84.679999999999993</c:v>
                </c:pt>
                <c:pt idx="1">
                  <c:v>150.72</c:v>
                </c:pt>
                <c:pt idx="2">
                  <c:v>151.84</c:v>
                </c:pt>
                <c:pt idx="3">
                  <c:v>287</c:v>
                </c:pt>
                <c:pt idx="4">
                  <c:v>305.45</c:v>
                </c:pt>
                <c:pt idx="5">
                  <c:v>297.92</c:v>
                </c:pt>
                <c:pt idx="6">
                  <c:v>388.08</c:v>
                </c:pt>
                <c:pt idx="7">
                  <c:v>640.25</c:v>
                </c:pt>
                <c:pt idx="8">
                  <c:v>1012.5799999999999</c:v>
                </c:pt>
                <c:pt idx="9">
                  <c:v>1003.52</c:v>
                </c:pt>
                <c:pt idx="10">
                  <c:v>458.25</c:v>
                </c:pt>
                <c:pt idx="11" formatCode="#,##0">
                  <c:v>767.91000000000008</c:v>
                </c:pt>
                <c:pt idx="12" formatCode="#,##0">
                  <c:v>338.142</c:v>
                </c:pt>
                <c:pt idx="13" formatCode="#,##0">
                  <c:v>200.79</c:v>
                </c:pt>
                <c:pt idx="14" formatCode="#,##0">
                  <c:v>303.99799999999999</c:v>
                </c:pt>
                <c:pt idx="15" formatCode="#,##0">
                  <c:v>838.66200000000003</c:v>
                </c:pt>
                <c:pt idx="16" formatCode="#,##0">
                  <c:v>545.505</c:v>
                </c:pt>
                <c:pt idx="17" formatCode="#,##0">
                  <c:v>454.3</c:v>
                </c:pt>
                <c:pt idx="18" formatCode="#,##0">
                  <c:v>376.74</c:v>
                </c:pt>
                <c:pt idx="19" formatCode="#,##0">
                  <c:v>857.14199999999994</c:v>
                </c:pt>
                <c:pt idx="20" formatCode="#,##0">
                  <c:v>382.35890000000006</c:v>
                </c:pt>
                <c:pt idx="21" formatCode="#,##0">
                  <c:v>444.10630000000003</c:v>
                </c:pt>
                <c:pt idx="22" formatCode="#,##0">
                  <c:v>315.64323999999999</c:v>
                </c:pt>
                <c:pt idx="23" formatCode="#,##0">
                  <c:v>391.73200000000003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'Mota-Engil'!$C$5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7-47C8-A3F8-598303A61982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7-47C8-A3F8-598303A61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'Mota-Engil'!$H$3:$AE$3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'Mota-Engil'!$H$5:$AE$5</c:f>
              <c:numCache>
                <c:formatCode>#,##0</c:formatCode>
                <c:ptCount val="24"/>
                <c:pt idx="0">
                  <c:v>73</c:v>
                </c:pt>
                <c:pt idx="1">
                  <c:v>80</c:v>
                </c:pt>
                <c:pt idx="2">
                  <c:v>80</c:v>
                </c:pt>
                <c:pt idx="3">
                  <c:v>205</c:v>
                </c:pt>
                <c:pt idx="4">
                  <c:v>205</c:v>
                </c:pt>
                <c:pt idx="5">
                  <c:v>196</c:v>
                </c:pt>
                <c:pt idx="6">
                  <c:v>196</c:v>
                </c:pt>
                <c:pt idx="7">
                  <c:v>197</c:v>
                </c:pt>
                <c:pt idx="8">
                  <c:v>197</c:v>
                </c:pt>
                <c:pt idx="9">
                  <c:v>196</c:v>
                </c:pt>
                <c:pt idx="10">
                  <c:v>195</c:v>
                </c:pt>
                <c:pt idx="11">
                  <c:v>195</c:v>
                </c:pt>
                <c:pt idx="12">
                  <c:v>194</c:v>
                </c:pt>
                <c:pt idx="13">
                  <c:v>194</c:v>
                </c:pt>
                <c:pt idx="14">
                  <c:v>194</c:v>
                </c:pt>
                <c:pt idx="15">
                  <c:v>194</c:v>
                </c:pt>
                <c:pt idx="16">
                  <c:v>205</c:v>
                </c:pt>
                <c:pt idx="17">
                  <c:v>236</c:v>
                </c:pt>
                <c:pt idx="18">
                  <c:v>234</c:v>
                </c:pt>
                <c:pt idx="19">
                  <c:v>234</c:v>
                </c:pt>
                <c:pt idx="20">
                  <c:v>237.49</c:v>
                </c:pt>
                <c:pt idx="21">
                  <c:v>237.49</c:v>
                </c:pt>
                <c:pt idx="22">
                  <c:v>231.41</c:v>
                </c:pt>
                <c:pt idx="23">
                  <c:v>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'Mota-Engil'!$C$6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8"/>
              <c:layout>
                <c:manualLayout>
                  <c:x val="0"/>
                  <c:y val="-5.6444444444444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F-4A62-BA08-3387AC2643FE}"/>
                </c:ext>
              </c:extLst>
            </c:dLbl>
            <c:dLbl>
              <c:idx val="9"/>
              <c:layout>
                <c:manualLayout>
                  <c:x val="0"/>
                  <c:y val="-6.46751787927415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F-4A62-BA08-3387AC2643FE}"/>
                </c:ext>
              </c:extLst>
            </c:dLbl>
            <c:dLbl>
              <c:idx val="14"/>
              <c:layout>
                <c:manualLayout>
                  <c:x val="-1.8567251461987623E-3"/>
                  <c:y val="-4.2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5F-4A62-BA08-3387AC2643FE}"/>
                </c:ext>
              </c:extLst>
            </c:dLbl>
            <c:dLbl>
              <c:idx val="15"/>
              <c:layout>
                <c:manualLayout>
                  <c:x val="1.8567251461986943E-3"/>
                  <c:y val="-5.9972222222222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F-4A62-BA08-3387AC2643FE}"/>
                </c:ext>
              </c:extLst>
            </c:dLbl>
            <c:dLbl>
              <c:idx val="16"/>
              <c:layout>
                <c:manualLayout>
                  <c:x val="-5.5701754385964908E-3"/>
                  <c:y val="-6.46751787927415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F-4A62-BA08-3387AC2643FE}"/>
                </c:ext>
              </c:extLst>
            </c:dLbl>
            <c:dLbl>
              <c:idx val="17"/>
              <c:layout>
                <c:manualLayout>
                  <c:x val="5.5701754385964908E-3"/>
                  <c:y val="-2.11666666666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F-4A62-BA08-3387AC264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'Mota-Engil'!$H$3:$AE$3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'Mota-Engil'!$H$6:$AE$6</c:f>
              <c:numCache>
                <c:formatCode>#,##0</c:formatCode>
                <c:ptCount val="24"/>
                <c:pt idx="0">
                  <c:v>420.711365</c:v>
                </c:pt>
                <c:pt idx="1">
                  <c:v>435.78859</c:v>
                </c:pt>
                <c:pt idx="2">
                  <c:v>495.89538699999997</c:v>
                </c:pt>
                <c:pt idx="3">
                  <c:v>868.84073799999999</c:v>
                </c:pt>
                <c:pt idx="4">
                  <c:v>876.10715900000002</c:v>
                </c:pt>
                <c:pt idx="5">
                  <c:v>1005.327043</c:v>
                </c:pt>
                <c:pt idx="6">
                  <c:v>1217.035384</c:v>
                </c:pt>
                <c:pt idx="7">
                  <c:v>1435.3363019999999</c:v>
                </c:pt>
                <c:pt idx="8">
                  <c:v>1397.4339419999999</c:v>
                </c:pt>
                <c:pt idx="9">
                  <c:v>1534.704888</c:v>
                </c:pt>
                <c:pt idx="10">
                  <c:v>1984.4877429999999</c:v>
                </c:pt>
                <c:pt idx="11">
                  <c:v>2294.5870089999999</c:v>
                </c:pt>
                <c:pt idx="12">
                  <c:v>2126.309049</c:v>
                </c:pt>
                <c:pt idx="13">
                  <c:v>2270.1793659999998</c:v>
                </c:pt>
                <c:pt idx="14">
                  <c:v>2326.1598389999999</c:v>
                </c:pt>
                <c:pt idx="15">
                  <c:v>2375.1030000000001</c:v>
                </c:pt>
                <c:pt idx="16">
                  <c:v>2384.703</c:v>
                </c:pt>
                <c:pt idx="17">
                  <c:v>2433.64</c:v>
                </c:pt>
                <c:pt idx="18">
                  <c:v>2210.0810000000001</c:v>
                </c:pt>
                <c:pt idx="19">
                  <c:v>2597.2939999999999</c:v>
                </c:pt>
                <c:pt idx="20">
                  <c:v>2818</c:v>
                </c:pt>
                <c:pt idx="21">
                  <c:v>2827</c:v>
                </c:pt>
                <c:pt idx="22">
                  <c:v>2429</c:v>
                </c:pt>
                <c:pt idx="23">
                  <c:v>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'Mota-Engil'!$C$27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'Mota-Engil'!$H$27:$AE$27</c:f>
              <c:numCache>
                <c:formatCode>0.0</c:formatCode>
                <c:ptCount val="24"/>
                <c:pt idx="0">
                  <c:v>0.201278137565882</c:v>
                </c:pt>
                <c:pt idx="1">
                  <c:v>0.34585577378242049</c:v>
                </c:pt>
                <c:pt idx="2">
                  <c:v>0.30619361256530503</c:v>
                </c:pt>
                <c:pt idx="3">
                  <c:v>0.33032521087886652</c:v>
                </c:pt>
                <c:pt idx="4">
                  <c:v>0.34864456574997577</c:v>
                </c:pt>
                <c:pt idx="5">
                  <c:v>0.29634137674340866</c:v>
                </c:pt>
                <c:pt idx="6">
                  <c:v>0.31887322677875402</c:v>
                </c:pt>
                <c:pt idx="7">
                  <c:v>0.44606270956003452</c:v>
                </c:pt>
                <c:pt idx="8">
                  <c:v>0.72459954604423082</c:v>
                </c:pt>
                <c:pt idx="9">
                  <c:v>0.65388467049699006</c:v>
                </c:pt>
                <c:pt idx="10">
                  <c:v>0.23091601427945932</c:v>
                </c:pt>
                <c:pt idx="11">
                  <c:v>0.3346615303704093</c:v>
                </c:pt>
                <c:pt idx="12">
                  <c:v>0.15902768233951112</c:v>
                </c:pt>
                <c:pt idx="13">
                  <c:v>8.8446755797004284E-2</c:v>
                </c:pt>
                <c:pt idx="14">
                  <c:v>0.13068663421284354</c:v>
                </c:pt>
                <c:pt idx="15">
                  <c:v>0.35310552847602822</c:v>
                </c:pt>
                <c:pt idx="16">
                  <c:v>0.22875175650804314</c:v>
                </c:pt>
                <c:pt idx="17">
                  <c:v>0.18667510395950102</c:v>
                </c:pt>
                <c:pt idx="18">
                  <c:v>0.17046434044725056</c:v>
                </c:pt>
                <c:pt idx="19">
                  <c:v>0.33001346786309133</c:v>
                </c:pt>
                <c:pt idx="20">
                  <c:v>0.13568449254790635</c:v>
                </c:pt>
                <c:pt idx="21">
                  <c:v>0.15709455252918289</c:v>
                </c:pt>
                <c:pt idx="22">
                  <c:v>0.12994781391519145</c:v>
                </c:pt>
                <c:pt idx="23">
                  <c:v>0.156317637669593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'Mota-Engil'!$C$7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'Mota-Engil'!$H$3:$AE$3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'Mota-Engil'!$H$7:$AE$7</c:f>
              <c:numCache>
                <c:formatCode>#,##0</c:formatCode>
                <c:ptCount val="24"/>
                <c:pt idx="0">
                  <c:v>21.089036</c:v>
                </c:pt>
                <c:pt idx="1">
                  <c:v>29.810594999999999</c:v>
                </c:pt>
                <c:pt idx="2">
                  <c:v>43.176414999999999</c:v>
                </c:pt>
                <c:pt idx="3">
                  <c:v>106.16341399999999</c:v>
                </c:pt>
                <c:pt idx="4">
                  <c:v>95.873630000000006</c:v>
                </c:pt>
                <c:pt idx="5">
                  <c:v>116.93994600000001</c:v>
                </c:pt>
                <c:pt idx="6">
                  <c:v>126.18755099999998</c:v>
                </c:pt>
                <c:pt idx="7">
                  <c:v>147.86112500000002</c:v>
                </c:pt>
                <c:pt idx="8">
                  <c:v>136.238315</c:v>
                </c:pt>
                <c:pt idx="9">
                  <c:v>239.158682</c:v>
                </c:pt>
                <c:pt idx="10">
                  <c:v>296.31123600000001</c:v>
                </c:pt>
                <c:pt idx="11">
                  <c:v>298.14407900000003</c:v>
                </c:pt>
                <c:pt idx="12">
                  <c:v>218.12580000000003</c:v>
                </c:pt>
                <c:pt idx="13">
                  <c:v>260.57934899999998</c:v>
                </c:pt>
                <c:pt idx="14">
                  <c:v>262.52913799999999</c:v>
                </c:pt>
                <c:pt idx="15">
                  <c:v>345.60300000000001</c:v>
                </c:pt>
                <c:pt idx="16">
                  <c:v>402.00799999999998</c:v>
                </c:pt>
                <c:pt idx="17">
                  <c:v>243.012</c:v>
                </c:pt>
                <c:pt idx="18">
                  <c:v>337.95</c:v>
                </c:pt>
                <c:pt idx="19">
                  <c:v>404.74</c:v>
                </c:pt>
                <c:pt idx="20">
                  <c:v>409</c:v>
                </c:pt>
                <c:pt idx="21">
                  <c:v>420</c:v>
                </c:pt>
                <c:pt idx="22">
                  <c:v>380</c:v>
                </c:pt>
                <c:pt idx="23">
                  <c:v>370.14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'Mota-Engil'!$C$28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'Mota-Engil'!$H$28:$AE$28</c:f>
              <c:numCache>
                <c:formatCode>0.0</c:formatCode>
                <c:ptCount val="24"/>
                <c:pt idx="0">
                  <c:v>4.0153566052047136</c:v>
                </c:pt>
                <c:pt idx="1">
                  <c:v>5.0559205544203332</c:v>
                </c:pt>
                <c:pt idx="2">
                  <c:v>3.516734772907848</c:v>
                </c:pt>
                <c:pt idx="3">
                  <c:v>2.7033795277156405</c:v>
                </c:pt>
                <c:pt idx="4">
                  <c:v>3.1859646912294859</c:v>
                </c:pt>
                <c:pt idx="5">
                  <c:v>2.5476324403296715</c:v>
                </c:pt>
                <c:pt idx="6">
                  <c:v>3.0754222340046842</c:v>
                </c:pt>
                <c:pt idx="7">
                  <c:v>4.3300766175017262</c:v>
                </c:pt>
                <c:pt idx="8">
                  <c:v>7.4324172315255064</c:v>
                </c:pt>
                <c:pt idx="9">
                  <c:v>4.1960425254392391</c:v>
                </c:pt>
                <c:pt idx="10">
                  <c:v>1.5465157723549841</c:v>
                </c:pt>
                <c:pt idx="11">
                  <c:v>2.5756339102075545</c:v>
                </c:pt>
                <c:pt idx="12">
                  <c:v>1.5502155178342036</c:v>
                </c:pt>
                <c:pt idx="13">
                  <c:v>0.77055223589494815</c:v>
                </c:pt>
                <c:pt idx="14">
                  <c:v>1.1579590833837272</c:v>
                </c:pt>
                <c:pt idx="15">
                  <c:v>2.4266629629951129</c:v>
                </c:pt>
                <c:pt idx="16">
                  <c:v>1.3569506079481006</c:v>
                </c:pt>
                <c:pt idx="17">
                  <c:v>1.8694550063371356</c:v>
                </c:pt>
                <c:pt idx="18">
                  <c:v>1.1147802929427431</c:v>
                </c:pt>
                <c:pt idx="19">
                  <c:v>2.1177595493403172</c:v>
                </c:pt>
                <c:pt idx="20">
                  <c:v>0.93486283618581922</c:v>
                </c:pt>
                <c:pt idx="21">
                  <c:v>1.0573959523809524</c:v>
                </c:pt>
                <c:pt idx="22">
                  <c:v>0.8306401052631579</c:v>
                </c:pt>
                <c:pt idx="23">
                  <c:v>1.0583346841735561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'Mota-Engil'!$C$32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48-4258-AE24-A2131CC049A5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48-4258-AE24-A2131CC04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'Mota-Engil'!$H$3:$AE$3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'Mota-Engil'!$H$32:$AE$32</c:f>
              <c:numCache>
                <c:formatCode>0.0%</c:formatCode>
                <c:ptCount val="24"/>
                <c:pt idx="0">
                  <c:v>5.0127088912846458E-2</c:v>
                </c:pt>
                <c:pt idx="1">
                  <c:v>6.8406093422501035E-2</c:v>
                </c:pt>
                <c:pt idx="2">
                  <c:v>8.7067587503087629E-2</c:v>
                </c:pt>
                <c:pt idx="3">
                  <c:v>0.12218972863125577</c:v>
                </c:pt>
                <c:pt idx="4">
                  <c:v>0.10943139662211115</c:v>
                </c:pt>
                <c:pt idx="5">
                  <c:v>0.1163203027455017</c:v>
                </c:pt>
                <c:pt idx="6">
                  <c:v>0.10368437323922537</c:v>
                </c:pt>
                <c:pt idx="7">
                  <c:v>0.1030149692402889</c:v>
                </c:pt>
                <c:pt idx="8">
                  <c:v>9.749177467738937E-2</c:v>
                </c:pt>
                <c:pt idx="9">
                  <c:v>0.15583366148762798</c:v>
                </c:pt>
                <c:pt idx="10">
                  <c:v>0.14931371435535243</c:v>
                </c:pt>
                <c:pt idx="11">
                  <c:v>0.12993365596100612</c:v>
                </c:pt>
                <c:pt idx="12">
                  <c:v>0.10258424103616748</c:v>
                </c:pt>
                <c:pt idx="13">
                  <c:v>0.11478359503334504</c:v>
                </c:pt>
                <c:pt idx="14">
                  <c:v>0.11285945772017948</c:v>
                </c:pt>
                <c:pt idx="15">
                  <c:v>0.14551074206044959</c:v>
                </c:pt>
                <c:pt idx="16">
                  <c:v>0.16857780612512333</c:v>
                </c:pt>
                <c:pt idx="17">
                  <c:v>9.9855360694268674E-2</c:v>
                </c:pt>
                <c:pt idx="18">
                  <c:v>0.1529129475345021</c:v>
                </c:pt>
                <c:pt idx="19">
                  <c:v>0.15583141531147418</c:v>
                </c:pt>
                <c:pt idx="20">
                  <c:v>0.14513839602555004</c:v>
                </c:pt>
                <c:pt idx="21">
                  <c:v>0.14856738592147153</c:v>
                </c:pt>
                <c:pt idx="22">
                  <c:v>0.15644298065047343</c:v>
                </c:pt>
                <c:pt idx="23">
                  <c:v>0.14770151636073423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'Mota-Engil'!$C$33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8-4258-AE24-A2131CC049A5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48-4258-AE24-A2131CC04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'Mota-Engil'!$H$3:$AE$3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'Mota-Engil'!$H$33:$AE$33</c:f>
              <c:numCache>
                <c:formatCode>0.0%</c:formatCode>
                <c:ptCount val="24"/>
                <c:pt idx="0">
                  <c:v>8.9577470767874326E-3</c:v>
                </c:pt>
                <c:pt idx="1">
                  <c:v>9.2127239953666527E-3</c:v>
                </c:pt>
                <c:pt idx="2">
                  <c:v>4.0609347309778464E-2</c:v>
                </c:pt>
                <c:pt idx="3">
                  <c:v>6.2108336591371938E-2</c:v>
                </c:pt>
                <c:pt idx="4">
                  <c:v>5.4854665329814978E-2</c:v>
                </c:pt>
                <c:pt idx="5">
                  <c:v>5.6955470758185904E-2</c:v>
                </c:pt>
                <c:pt idx="6">
                  <c:v>5.8944869593043805E-2</c:v>
                </c:pt>
                <c:pt idx="7">
                  <c:v>6.4578076838747722E-2</c:v>
                </c:pt>
                <c:pt idx="8">
                  <c:v>6.0248772031043174E-2</c:v>
                </c:pt>
                <c:pt idx="9">
                  <c:v>9.6556926454514552E-2</c:v>
                </c:pt>
                <c:pt idx="10">
                  <c:v>9.7123473138024816E-2</c:v>
                </c:pt>
                <c:pt idx="11">
                  <c:v>7.5115135893284404E-2</c:v>
                </c:pt>
                <c:pt idx="12">
                  <c:v>6.1959954063102902E-2</c:v>
                </c:pt>
                <c:pt idx="13">
                  <c:v>7.46125537641769E-2</c:v>
                </c:pt>
                <c:pt idx="14">
                  <c:v>7.3589265935220208E-2</c:v>
                </c:pt>
                <c:pt idx="15">
                  <c:v>0.10225914412974932</c:v>
                </c:pt>
                <c:pt idx="16">
                  <c:v>0.11433163794401231</c:v>
                </c:pt>
                <c:pt idx="17">
                  <c:v>3.6676747587975213E-2</c:v>
                </c:pt>
                <c:pt idx="18">
                  <c:v>3.6588251742809427E-2</c:v>
                </c:pt>
                <c:pt idx="19">
                  <c:v>7.1663431248060488E-2</c:v>
                </c:pt>
                <c:pt idx="20">
                  <c:v>7.1682044002838896E-2</c:v>
                </c:pt>
                <c:pt idx="21">
                  <c:v>6.2256809338521402E-2</c:v>
                </c:pt>
                <c:pt idx="22">
                  <c:v>5.9283655825442566E-2</c:v>
                </c:pt>
                <c:pt idx="23">
                  <c:v>5.9297685554668793E-2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'Mota-Engil'!$C$35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48-4258-AE24-A2131CC049A5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48-4258-AE24-A2131CC04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'Mota-Engil'!$H$3:$AE$3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'Mota-Engil'!$H$35:$AE$35</c:f>
              <c:numCache>
                <c:formatCode>0.0%</c:formatCode>
                <c:ptCount val="24"/>
                <c:pt idx="0">
                  <c:v>2.3944242628197127E-2</c:v>
                </c:pt>
                <c:pt idx="1">
                  <c:v>2.059547956498815E-2</c:v>
                </c:pt>
                <c:pt idx="2">
                  <c:v>1.3110761201737093E-2</c:v>
                </c:pt>
                <c:pt idx="3">
                  <c:v>2.26810439912867E-2</c:v>
                </c:pt>
                <c:pt idx="4">
                  <c:v>2.2100323917111149E-2</c:v>
                </c:pt>
                <c:pt idx="5">
                  <c:v>1.5301432610522147E-2</c:v>
                </c:pt>
                <c:pt idx="6">
                  <c:v>2.297733193926595E-2</c:v>
                </c:pt>
                <c:pt idx="7">
                  <c:v>2.6151328401363045E-2</c:v>
                </c:pt>
                <c:pt idx="8">
                  <c:v>2.6931189996814896E-2</c:v>
                </c:pt>
                <c:pt idx="9">
                  <c:v>7.0205808844729503E-2</c:v>
                </c:pt>
                <c:pt idx="10">
                  <c:v>2.0040276459394591E-2</c:v>
                </c:pt>
                <c:pt idx="11">
                  <c:v>3.4826380819974391E-2</c:v>
                </c:pt>
                <c:pt idx="12">
                  <c:v>3.2571317905349326E-2</c:v>
                </c:pt>
                <c:pt idx="13">
                  <c:v>3.1309569659792258E-2</c:v>
                </c:pt>
                <c:pt idx="14">
                  <c:v>3.1814898425817077E-2</c:v>
                </c:pt>
                <c:pt idx="15">
                  <c:v>3.724806882059431E-2</c:v>
                </c:pt>
                <c:pt idx="16">
                  <c:v>3.4842494012881267E-2</c:v>
                </c:pt>
                <c:pt idx="17">
                  <c:v>2.1420998997386632E-2</c:v>
                </c:pt>
                <c:pt idx="18">
                  <c:v>2.2696000734814693E-2</c:v>
                </c:pt>
                <c:pt idx="19">
                  <c:v>6.1140556286658351E-4</c:v>
                </c:pt>
                <c:pt idx="20">
                  <c:v>8.378282469836764E-3</c:v>
                </c:pt>
                <c:pt idx="21">
                  <c:v>9.4552529182879378E-3</c:v>
                </c:pt>
                <c:pt idx="22">
                  <c:v>-8.2338410868670227E-3</c:v>
                </c:pt>
                <c:pt idx="23">
                  <c:v>2.7545889864325616E-3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'Mota-Engil'!$C$12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'Mota-Engil'!$H$3:$AE$3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'Mota-Engil'!$H$12:$AD$12</c:f>
              <c:numCache>
                <c:formatCode>#,##0</c:formatCode>
                <c:ptCount val="23"/>
                <c:pt idx="0">
                  <c:v>10.073615</c:v>
                </c:pt>
                <c:pt idx="1">
                  <c:v>8.9752749999999999</c:v>
                </c:pt>
                <c:pt idx="2">
                  <c:v>6.5015660000000004</c:v>
                </c:pt>
                <c:pt idx="3">
                  <c:v>19.706215</c:v>
                </c:pt>
                <c:pt idx="4">
                  <c:v>19.362252000000002</c:v>
                </c:pt>
                <c:pt idx="5">
                  <c:v>15.382944</c:v>
                </c:pt>
                <c:pt idx="6">
                  <c:v>27.964226</c:v>
                </c:pt>
                <c:pt idx="7">
                  <c:v>37.535951000000004</c:v>
                </c:pt>
                <c:pt idx="8">
                  <c:v>37.634559000000003</c:v>
                </c:pt>
                <c:pt idx="9">
                  <c:v>107.745198</c:v>
                </c:pt>
                <c:pt idx="10">
                  <c:v>39.769683000000001</c:v>
                </c:pt>
                <c:pt idx="11">
                  <c:v>79.912160999999998</c:v>
                </c:pt>
                <c:pt idx="12">
                  <c:v>69.256687999999997</c:v>
                </c:pt>
                <c:pt idx="13">
                  <c:v>71.078339000000014</c:v>
                </c:pt>
                <c:pt idx="14">
                  <c:v>74.006539000000004</c:v>
                </c:pt>
                <c:pt idx="15">
                  <c:v>88.468000000000004</c:v>
                </c:pt>
                <c:pt idx="16">
                  <c:v>83.088999999999999</c:v>
                </c:pt>
                <c:pt idx="17">
                  <c:v>52.131</c:v>
                </c:pt>
                <c:pt idx="18">
                  <c:v>50.16</c:v>
                </c:pt>
                <c:pt idx="19">
                  <c:v>1.5880000000000001</c:v>
                </c:pt>
                <c:pt idx="20">
                  <c:v>23.61</c:v>
                </c:pt>
                <c:pt idx="21">
                  <c:v>26.73</c:v>
                </c:pt>
                <c:pt idx="2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'Mota-Engil'!$C$36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7A-4F94-8E4E-5F4B01C96A41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'Mota-Engil'!$H$36:$AD$36</c:f>
              <c:numCache>
                <c:formatCode>0.0</c:formatCode>
                <c:ptCount val="23"/>
                <c:pt idx="0">
                  <c:v>8.4061183596951032</c:v>
                </c:pt>
                <c:pt idx="1">
                  <c:v>16.792800220606054</c:v>
                </c:pt>
                <c:pt idx="2">
                  <c:v>23.354373392502666</c:v>
                </c:pt>
                <c:pt idx="3">
                  <c:v>14.563933256589355</c:v>
                </c:pt>
                <c:pt idx="4">
                  <c:v>15.775540985625017</c:v>
                </c:pt>
                <c:pt idx="5">
                  <c:v>19.366904020452782</c:v>
                </c:pt>
                <c:pt idx="6">
                  <c:v>13.87773078360903</c:v>
                </c:pt>
                <c:pt idx="7">
                  <c:v>17.05698091943907</c:v>
                </c:pt>
                <c:pt idx="8">
                  <c:v>26.905589620433705</c:v>
                </c:pt>
                <c:pt idx="9">
                  <c:v>9.3138257539793088</c:v>
                </c:pt>
                <c:pt idx="10">
                  <c:v>11.522596244983898</c:v>
                </c:pt>
                <c:pt idx="11">
                  <c:v>9.6094260296627461</c:v>
                </c:pt>
                <c:pt idx="12">
                  <c:v>4.8824454325624123</c:v>
                </c:pt>
                <c:pt idx="13">
                  <c:v>2.8249112574226016</c:v>
                </c:pt>
                <c:pt idx="14">
                  <c:v>4.1077181031259951</c:v>
                </c:pt>
                <c:pt idx="15">
                  <c:v>9.4798345164353215</c:v>
                </c:pt>
                <c:pt idx="16">
                  <c:v>6.5653094874171067</c:v>
                </c:pt>
                <c:pt idx="17">
                  <c:v>8.7145844123458218</c:v>
                </c:pt>
                <c:pt idx="18">
                  <c:v>7.5107655502392348</c:v>
                </c:pt>
                <c:pt idx="19">
                  <c:v>539.76196473551636</c:v>
                </c:pt>
                <c:pt idx="20">
                  <c:v>16.194786107581535</c:v>
                </c:pt>
                <c:pt idx="21">
                  <c:v>16.614526748971194</c:v>
                </c:pt>
                <c:pt idx="2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'Mota-Engil'!$C$38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8-47A6-9E50-5A2D515EB8B5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80-4C4B-AA87-0B0DA1CCC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'Mota-Engil'!$H$3:$AB$3</c:f>
              <c:numCache>
                <c:formatCode>General</c:formatCode>
                <c:ptCount val="21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numCache>
            </c:numRef>
          </c:cat>
          <c:val>
            <c:numRef>
              <c:f>'Mota-Engil'!$H$38:$AB$38</c:f>
              <c:numCache>
                <c:formatCode>0%</c:formatCode>
                <c:ptCount val="21"/>
                <c:pt idx="0">
                  <c:v>4.4626090037364598E-2</c:v>
                </c:pt>
                <c:pt idx="1">
                  <c:v>4.2133607339609754E-2</c:v>
                </c:pt>
                <c:pt idx="2">
                  <c:v>7.7196988185580045E-2</c:v>
                </c:pt>
                <c:pt idx="3">
                  <c:v>0.19666764094965103</c:v>
                </c:pt>
                <c:pt idx="4">
                  <c:v>0.19896265820591133</c:v>
                </c:pt>
                <c:pt idx="5">
                  <c:v>0.25240304008552</c:v>
                </c:pt>
                <c:pt idx="6">
                  <c:v>0.27773334074802219</c:v>
                </c:pt>
                <c:pt idx="7">
                  <c:v>0.2913411422533107</c:v>
                </c:pt>
                <c:pt idx="8">
                  <c:v>0.27713996365777127</c:v>
                </c:pt>
                <c:pt idx="9">
                  <c:v>0.38298358787571091</c:v>
                </c:pt>
                <c:pt idx="10">
                  <c:v>0.56469585496838426</c:v>
                </c:pt>
                <c:pt idx="11">
                  <c:v>0.45828823656996553</c:v>
                </c:pt>
                <c:pt idx="12">
                  <c:v>0.27405412326974904</c:v>
                </c:pt>
                <c:pt idx="13">
                  <c:v>0.40832652093576727</c:v>
                </c:pt>
                <c:pt idx="14">
                  <c:v>0.39263268149417013</c:v>
                </c:pt>
                <c:pt idx="15">
                  <c:v>0.43430741775239351</c:v>
                </c:pt>
                <c:pt idx="16">
                  <c:v>0.47171740589770023</c:v>
                </c:pt>
                <c:pt idx="17">
                  <c:v>0.24176056338028168</c:v>
                </c:pt>
                <c:pt idx="18">
                  <c:v>0.24526235972095844</c:v>
                </c:pt>
                <c:pt idx="19">
                  <c:v>0.60609247802018884</c:v>
                </c:pt>
                <c:pt idx="20">
                  <c:v>1.141888072357264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'Mota-Engil'!$C$39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38-47A6-9E50-5A2D515EB8B5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0-4C4B-AA87-0B0DA1CCC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'Mota-Engil'!$H$3:$AB$3</c:f>
              <c:numCache>
                <c:formatCode>General</c:formatCode>
                <c:ptCount val="21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numCache>
            </c:numRef>
          </c:cat>
          <c:val>
            <c:numRef>
              <c:f>'Mota-Engil'!$H$39:$AB$39</c:f>
              <c:numCache>
                <c:formatCode>0%</c:formatCode>
                <c:ptCount val="21"/>
                <c:pt idx="0">
                  <c:v>0.11928645877615517</c:v>
                </c:pt>
                <c:pt idx="1">
                  <c:v>9.4191668978533399E-2</c:v>
                </c:pt>
                <c:pt idx="2">
                  <c:v>2.4923111171273365E-2</c:v>
                </c:pt>
                <c:pt idx="3">
                  <c:v>7.1820107586994711E-2</c:v>
                </c:pt>
                <c:pt idx="4">
                  <c:v>8.015980349751857E-2</c:v>
                </c:pt>
                <c:pt idx="5">
                  <c:v>6.7809607350219681E-2</c:v>
                </c:pt>
                <c:pt idx="6">
                  <c:v>0.10826338585574996</c:v>
                </c:pt>
                <c:pt idx="7">
                  <c:v>0.11798056338715676</c:v>
                </c:pt>
                <c:pt idx="8">
                  <c:v>0.12388151269094974</c:v>
                </c:pt>
                <c:pt idx="9">
                  <c:v>0.27846446182953954</c:v>
                </c:pt>
                <c:pt idx="10">
                  <c:v>0.11651829041325774</c:v>
                </c:pt>
                <c:pt idx="11">
                  <c:v>0.21248075321031362</c:v>
                </c:pt>
                <c:pt idx="12">
                  <c:v>0.14406569706620223</c:v>
                </c:pt>
                <c:pt idx="13">
                  <c:v>0.17134553109636566</c:v>
                </c:pt>
                <c:pt idx="14">
                  <c:v>0.16974715974731147</c:v>
                </c:pt>
                <c:pt idx="15">
                  <c:v>0.15819722258979377</c:v>
                </c:pt>
                <c:pt idx="16">
                  <c:v>0.14375557970061661</c:v>
                </c:pt>
                <c:pt idx="17">
                  <c:v>0.14119989165763813</c:v>
                </c:pt>
                <c:pt idx="18">
                  <c:v>0.15213830755232027</c:v>
                </c:pt>
                <c:pt idx="19">
                  <c:v>5.1709540866167374E-3</c:v>
                </c:pt>
                <c:pt idx="20">
                  <c:v>0.13346523459581683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BCP!$C$37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BCP!$D$37:$AA$37</c:f>
              <c:numCache>
                <c:formatCode>0.0</c:formatCode>
                <c:ptCount val="24"/>
                <c:pt idx="0">
                  <c:v>1.4949112115399297</c:v>
                </c:pt>
                <c:pt idx="1">
                  <c:v>5.8872035769279032</c:v>
                </c:pt>
                <c:pt idx="2">
                  <c:v>11.897854403482997</c:v>
                </c:pt>
                <c:pt idx="3">
                  <c:v>8.6884763284136177</c:v>
                </c:pt>
                <c:pt idx="4">
                  <c:v>8.7713459774193367</c:v>
                </c:pt>
                <c:pt idx="5">
                  <c:v>8.1914628073749789</c:v>
                </c:pt>
                <c:pt idx="6">
                  <c:v>6.910357471922171</c:v>
                </c:pt>
                <c:pt idx="7">
                  <c:v>6.6818189140594777</c:v>
                </c:pt>
                <c:pt idx="8">
                  <c:v>8.4431416705409497</c:v>
                </c:pt>
                <c:pt idx="9">
                  <c:v>8.7274783764633614</c:v>
                </c:pt>
                <c:pt idx="10">
                  <c:v>2.7574482645816403</c:v>
                </c:pt>
                <c:pt idx="11">
                  <c:v>2.4770695107094078</c:v>
                </c:pt>
                <c:pt idx="12">
                  <c:v>2.1918614669859817</c:v>
                </c:pt>
                <c:pt idx="13">
                  <c:v>1.0874092176930621</c:v>
                </c:pt>
                <c:pt idx="14">
                  <c:v>2.7588737213350978</c:v>
                </c:pt>
                <c:pt idx="15">
                  <c:v>7.5199641813561726</c:v>
                </c:pt>
                <c:pt idx="16">
                  <c:v>0.5145774725696709</c:v>
                </c:pt>
                <c:pt idx="17">
                  <c:v>0.49645035691109674</c:v>
                </c:pt>
                <c:pt idx="18">
                  <c:v>0.30101290335536535</c:v>
                </c:pt>
                <c:pt idx="19">
                  <c:v>0.59554648513398301</c:v>
                </c:pt>
                <c:pt idx="20">
                  <c:v>0.60011470588235294</c:v>
                </c:pt>
                <c:pt idx="21">
                  <c:v>0.50083613762509804</c:v>
                </c:pt>
                <c:pt idx="22">
                  <c:v>0.29931579522366181</c:v>
                </c:pt>
                <c:pt idx="23">
                  <c:v>0.33861682051785652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BCP!$C$41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BCP!$D$41:$AA$41</c:f>
              <c:numCache>
                <c:formatCode>0.0</c:formatCode>
                <c:ptCount val="24"/>
                <c:pt idx="0">
                  <c:v>0.94556335284635684</c:v>
                </c:pt>
                <c:pt idx="1">
                  <c:v>1.0228985578432337</c:v>
                </c:pt>
                <c:pt idx="2">
                  <c:v>0.92464048398144594</c:v>
                </c:pt>
                <c:pt idx="3">
                  <c:v>0.95139054210174945</c:v>
                </c:pt>
                <c:pt idx="4">
                  <c:v>3.8382415134034518</c:v>
                </c:pt>
                <c:pt idx="5">
                  <c:v>4.1039267920570222</c:v>
                </c:pt>
                <c:pt idx="6">
                  <c:v>1.3526968466625755</c:v>
                </c:pt>
                <c:pt idx="7">
                  <c:v>1.3375910426891311</c:v>
                </c:pt>
                <c:pt idx="8">
                  <c:v>1.4341962472625835</c:v>
                </c:pt>
                <c:pt idx="9">
                  <c:v>1.5388829245442186</c:v>
                </c:pt>
                <c:pt idx="10">
                  <c:v>1.4591024424013963</c:v>
                </c:pt>
                <c:pt idx="11">
                  <c:v>1.3851937469203413</c:v>
                </c:pt>
                <c:pt idx="12">
                  <c:v>0.92837328725667001</c:v>
                </c:pt>
                <c:pt idx="13">
                  <c:v>0.89809029731251455</c:v>
                </c:pt>
                <c:pt idx="14">
                  <c:v>1.0502938119189791</c:v>
                </c:pt>
                <c:pt idx="15">
                  <c:v>0.97774120656506536</c:v>
                </c:pt>
                <c:pt idx="16">
                  <c:v>0.9337006181486146</c:v>
                </c:pt>
                <c:pt idx="17">
                  <c:v>8.507284768211921</c:v>
                </c:pt>
                <c:pt idx="18">
                  <c:v>0.8104372162872453</c:v>
                </c:pt>
                <c:pt idx="19">
                  <c:v>0.81162050931833296</c:v>
                </c:pt>
                <c:pt idx="20">
                  <c:v>0.74757458362305884</c:v>
                </c:pt>
                <c:pt idx="21">
                  <c:v>0.7572397360703812</c:v>
                </c:pt>
                <c:pt idx="22">
                  <c:v>0.72369372878526517</c:v>
                </c:pt>
                <c:pt idx="23">
                  <c:v>0.70957193816884656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BCP!$C$45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BCP!$D$45:$AA$45</c:f>
              <c:numCache>
                <c:formatCode>0.00</c:formatCode>
                <c:ptCount val="24"/>
                <c:pt idx="0">
                  <c:v>10.960108096427799</c:v>
                </c:pt>
                <c:pt idx="1">
                  <c:v>9.9177637868823751</c:v>
                </c:pt>
                <c:pt idx="2">
                  <c:v>16.66300410193357</c:v>
                </c:pt>
                <c:pt idx="3">
                  <c:v>13.372349369262908</c:v>
                </c:pt>
                <c:pt idx="4">
                  <c:v>26.643813964497692</c:v>
                </c:pt>
                <c:pt idx="5">
                  <c:v>22.216307263447632</c:v>
                </c:pt>
                <c:pt idx="6">
                  <c:v>18.752136595908848</c:v>
                </c:pt>
                <c:pt idx="7">
                  <c:v>15.699102133410978</c:v>
                </c:pt>
                <c:pt idx="8">
                  <c:v>15.282386555930476</c:v>
                </c:pt>
                <c:pt idx="9">
                  <c:v>16.995830182344051</c:v>
                </c:pt>
                <c:pt idx="10">
                  <c:v>14.112065905342213</c:v>
                </c:pt>
                <c:pt idx="11">
                  <c:v>12.232660753287618</c:v>
                </c:pt>
                <c:pt idx="12">
                  <c:v>16.561254800546227</c:v>
                </c:pt>
                <c:pt idx="13">
                  <c:v>20.370408996038289</c:v>
                </c:pt>
                <c:pt idx="14">
                  <c:v>21.434955307100566</c:v>
                </c:pt>
                <c:pt idx="15">
                  <c:v>24.034139058210982</c:v>
                </c:pt>
                <c:pt idx="16">
                  <c:v>14.312279936241042</c:v>
                </c:pt>
                <c:pt idx="17">
                  <c:v>15.198356045857668</c:v>
                </c:pt>
                <c:pt idx="18">
                  <c:v>15.262717828555886</c:v>
                </c:pt>
                <c:pt idx="19">
                  <c:v>10.830620566486566</c:v>
                </c:pt>
                <c:pt idx="20">
                  <c:v>12.135467128027681</c:v>
                </c:pt>
                <c:pt idx="21">
                  <c:v>12.340522875816994</c:v>
                </c:pt>
                <c:pt idx="22">
                  <c:v>12.778331457964958</c:v>
                </c:pt>
                <c:pt idx="23">
                  <c:v>13.543329623151534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'Mota-Engil'!$C$37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'Mota-Engil'!$H$3:$EA$3</c:f>
              <c:strCache>
                <c:ptCount val="26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  <c:pt idx="25">
                  <c:v>23*</c:v>
                </c:pt>
              </c:strCache>
            </c:strRef>
          </c:cat>
          <c:val>
            <c:numRef>
              <c:f>'Mota-Engil'!$H$37:$AB$37</c:f>
              <c:numCache>
                <c:formatCode>0.0</c:formatCode>
                <c:ptCount val="21"/>
                <c:pt idx="0">
                  <c:v>1.0027360911812511</c:v>
                </c:pt>
                <c:pt idx="1">
                  <c:v>1.581741879601968</c:v>
                </c:pt>
                <c:pt idx="2">
                  <c:v>0.58206364439677272</c:v>
                </c:pt>
                <c:pt idx="3">
                  <c:v>1.0459832533780578</c:v>
                </c:pt>
                <c:pt idx="4">
                  <c:v>1.2645642654747518</c:v>
                </c:pt>
                <c:pt idx="5">
                  <c:v>1.3132621572162939</c:v>
                </c:pt>
                <c:pt idx="6">
                  <c:v>1.5024501226280835</c:v>
                </c:pt>
                <c:pt idx="7">
                  <c:v>2.0123922185594045</c:v>
                </c:pt>
                <c:pt idx="8">
                  <c:v>3.3331051420212434</c:v>
                </c:pt>
                <c:pt idx="9">
                  <c:v>2.5935694761559533</c:v>
                </c:pt>
                <c:pt idx="10">
                  <c:v>1.3425932155877471</c:v>
                </c:pt>
                <c:pt idx="11">
                  <c:v>2.0418180807015336</c:v>
                </c:pt>
                <c:pt idx="12">
                  <c:v>0.7033929046297992</c:v>
                </c:pt>
                <c:pt idx="13">
                  <c:v>0.48403591970317783</c:v>
                </c:pt>
                <c:pt idx="14">
                  <c:v>0.6972734810482516</c:v>
                </c:pt>
                <c:pt idx="15">
                  <c:v>1.4996834911109285</c:v>
                </c:pt>
                <c:pt idx="16">
                  <c:v>0.94379987127760423</c:v>
                </c:pt>
                <c:pt idx="17">
                  <c:v>1.2304983748645721</c:v>
                </c:pt>
                <c:pt idx="18">
                  <c:v>1.1426751592356688</c:v>
                </c:pt>
                <c:pt idx="19">
                  <c:v>2.791084337349397</c:v>
                </c:pt>
                <c:pt idx="20">
                  <c:v>2.1614409270774453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'Mota-Engil'!$C$41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'Mota-Engil'!$H$3:$AE$3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'Mota-Engil'!$H$41:$AB$41</c:f>
              <c:numCache>
                <c:formatCode>0.0</c:formatCode>
                <c:ptCount val="21"/>
                <c:pt idx="0">
                  <c:v>2.1636370100696865</c:v>
                </c:pt>
                <c:pt idx="1">
                  <c:v>63.564985126269811</c:v>
                </c:pt>
                <c:pt idx="2">
                  <c:v>1.4026784708866342</c:v>
                </c:pt>
                <c:pt idx="3">
                  <c:v>0.74235584739854032</c:v>
                </c:pt>
                <c:pt idx="4">
                  <c:v>0.80411045096524469</c:v>
                </c:pt>
                <c:pt idx="5">
                  <c:v>0.90407683623972279</c:v>
                </c:pt>
                <c:pt idx="6">
                  <c:v>0.83948302349552462</c:v>
                </c:pt>
                <c:pt idx="7">
                  <c:v>0.9686306349926932</c:v>
                </c:pt>
                <c:pt idx="8">
                  <c:v>1.1879677193979008</c:v>
                </c:pt>
                <c:pt idx="9">
                  <c:v>1.1606999238863587</c:v>
                </c:pt>
                <c:pt idx="10">
                  <c:v>0.99550296879336753</c:v>
                </c:pt>
                <c:pt idx="11">
                  <c:v>0.92798497448055273</c:v>
                </c:pt>
                <c:pt idx="12">
                  <c:v>0.95758065755957988</c:v>
                </c:pt>
                <c:pt idx="13">
                  <c:v>0.94309457048383272</c:v>
                </c:pt>
                <c:pt idx="14">
                  <c:v>0.94309457048383272</c:v>
                </c:pt>
                <c:pt idx="15">
                  <c:v>0.99812546618901599</c:v>
                </c:pt>
                <c:pt idx="16">
                  <c:v>1.096232848773969</c:v>
                </c:pt>
                <c:pt idx="17">
                  <c:v>0.94543162877421938</c:v>
                </c:pt>
                <c:pt idx="18">
                  <c:v>1.0534084758994005</c:v>
                </c:pt>
                <c:pt idx="19">
                  <c:v>1.0212223027823824</c:v>
                </c:pt>
                <c:pt idx="20">
                  <c:v>0.94883829176525347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'Mota-Engil'!$C$45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'Mota-Engil'!$H$3:$AE$3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'Mota-Engil'!$H$45:$AB$45</c:f>
              <c:numCache>
                <c:formatCode>0.0</c:formatCode>
                <c:ptCount val="21"/>
                <c:pt idx="0">
                  <c:v>2.9424921141698168</c:v>
                </c:pt>
                <c:pt idx="1">
                  <c:v>3.1772800283941138</c:v>
                </c:pt>
                <c:pt idx="2">
                  <c:v>2.8365871000282814</c:v>
                </c:pt>
                <c:pt idx="3">
                  <c:v>3.3406342101877766</c:v>
                </c:pt>
                <c:pt idx="4">
                  <c:v>3.6552322291439969</c:v>
                </c:pt>
                <c:pt idx="5">
                  <c:v>4.3866214124309062</c:v>
                </c:pt>
                <c:pt idx="6">
                  <c:v>4.1759522520979369</c:v>
                </c:pt>
                <c:pt idx="7">
                  <c:v>4.1713874444044237</c:v>
                </c:pt>
                <c:pt idx="8">
                  <c:v>4.7110641825771626</c:v>
                </c:pt>
                <c:pt idx="9">
                  <c:v>7.751864282483198</c:v>
                </c:pt>
                <c:pt idx="10">
                  <c:v>9.8686362469586655</c:v>
                </c:pt>
                <c:pt idx="11">
                  <c:v>11.268645874417107</c:v>
                </c:pt>
                <c:pt idx="12">
                  <c:v>6.1894138292405243</c:v>
                </c:pt>
                <c:pt idx="13">
                  <c:v>7.4958728265927803</c:v>
                </c:pt>
                <c:pt idx="14">
                  <c:v>7.1321278565306336</c:v>
                </c:pt>
                <c:pt idx="15">
                  <c:v>5.7475922078014969</c:v>
                </c:pt>
                <c:pt idx="16">
                  <c:v>5.8544000913513772</c:v>
                </c:pt>
                <c:pt idx="17">
                  <c:v>12.658179848320692</c:v>
                </c:pt>
                <c:pt idx="18">
                  <c:v>11.801637852593267</c:v>
                </c:pt>
                <c:pt idx="19">
                  <c:v>14.024747639205469</c:v>
                </c:pt>
                <c:pt idx="20">
                  <c:v>25.529112492933862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Navigator!$C$26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5.5701754385964908E-3"/>
                  <c:y val="-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7-4B2F-A73F-D490B22F0571}"/>
                </c:ext>
              </c:extLst>
            </c:dLbl>
            <c:dLbl>
              <c:idx val="21"/>
              <c:layout>
                <c:manualLayout>
                  <c:x val="0"/>
                  <c:y val="-4.2333333333333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7-4B2F-A73F-D490B22F0571}"/>
                </c:ext>
              </c:extLst>
            </c:dLbl>
            <c:dLbl>
              <c:idx val="23"/>
              <c:layout>
                <c:manualLayout>
                  <c:x val="1.6710526315789339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7-4B2F-A73F-D490B22F0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Navigator!$H$26:$AE$26</c:f>
              <c:numCache>
                <c:formatCode>#,##0</c:formatCode>
                <c:ptCount val="24"/>
                <c:pt idx="0">
                  <c:v>487.20000000000005</c:v>
                </c:pt>
                <c:pt idx="1">
                  <c:v>595.95000000000005</c:v>
                </c:pt>
                <c:pt idx="2">
                  <c:v>630.75</c:v>
                </c:pt>
                <c:pt idx="3">
                  <c:v>905.06</c:v>
                </c:pt>
                <c:pt idx="4">
                  <c:v>889.71999999999991</c:v>
                </c:pt>
                <c:pt idx="5">
                  <c:v>1073.8</c:v>
                </c:pt>
                <c:pt idx="6">
                  <c:v>1096.81</c:v>
                </c:pt>
                <c:pt idx="7">
                  <c:v>1288.56</c:v>
                </c:pt>
                <c:pt idx="8">
                  <c:v>1840.8</c:v>
                </c:pt>
                <c:pt idx="9">
                  <c:v>1710.41</c:v>
                </c:pt>
                <c:pt idx="10">
                  <c:v>1167.9459999999999</c:v>
                </c:pt>
                <c:pt idx="11">
                  <c:v>1492.1660000000002</c:v>
                </c:pt>
                <c:pt idx="12">
                  <c:v>1712.4623999999999</c:v>
                </c:pt>
                <c:pt idx="13">
                  <c:v>1377.2270999999998</c:v>
                </c:pt>
                <c:pt idx="14">
                  <c:v>1665.7679999999998</c:v>
                </c:pt>
                <c:pt idx="15">
                  <c:v>2091.9990000000003</c:v>
                </c:pt>
                <c:pt idx="16">
                  <c:v>2212.5619999999999</c:v>
                </c:pt>
                <c:pt idx="17">
                  <c:v>2578.3319999999999</c:v>
                </c:pt>
                <c:pt idx="18">
                  <c:v>2342.6375000000003</c:v>
                </c:pt>
                <c:pt idx="19">
                  <c:v>3048.6839999999997</c:v>
                </c:pt>
                <c:pt idx="20">
                  <c:v>2583.1799999999998</c:v>
                </c:pt>
                <c:pt idx="21">
                  <c:v>2574.5693999999999</c:v>
                </c:pt>
                <c:pt idx="22">
                  <c:v>1776.52764</c:v>
                </c:pt>
                <c:pt idx="23">
                  <c:v>2393.6084999999998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Navigator!$C$5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7-4B2F-A73F-D490B22F0571}"/>
                </c:ext>
              </c:extLst>
            </c:dLbl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7-4B2F-A73F-D490B22F0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Navigator!$H$5:$AE$5</c:f>
              <c:numCache>
                <c:formatCode>#,##0</c:formatCode>
                <c:ptCount val="24"/>
                <c:pt idx="0">
                  <c:v>435</c:v>
                </c:pt>
                <c:pt idx="1">
                  <c:v>435</c:v>
                </c:pt>
                <c:pt idx="2">
                  <c:v>435</c:v>
                </c:pt>
                <c:pt idx="3">
                  <c:v>767</c:v>
                </c:pt>
                <c:pt idx="4">
                  <c:v>767</c:v>
                </c:pt>
                <c:pt idx="5">
                  <c:v>767</c:v>
                </c:pt>
                <c:pt idx="6">
                  <c:v>767</c:v>
                </c:pt>
                <c:pt idx="7">
                  <c:v>767</c:v>
                </c:pt>
                <c:pt idx="8">
                  <c:v>767</c:v>
                </c:pt>
                <c:pt idx="9">
                  <c:v>767</c:v>
                </c:pt>
                <c:pt idx="10">
                  <c:v>754</c:v>
                </c:pt>
                <c:pt idx="11">
                  <c:v>754</c:v>
                </c:pt>
                <c:pt idx="12">
                  <c:v>752.4</c:v>
                </c:pt>
                <c:pt idx="13">
                  <c:v>748.9</c:v>
                </c:pt>
                <c:pt idx="14">
                  <c:v>730.6</c:v>
                </c:pt>
                <c:pt idx="15">
                  <c:v>718.9</c:v>
                </c:pt>
                <c:pt idx="16">
                  <c:v>717.2</c:v>
                </c:pt>
                <c:pt idx="17">
                  <c:v>717</c:v>
                </c:pt>
                <c:pt idx="18">
                  <c:v>717.5</c:v>
                </c:pt>
                <c:pt idx="19">
                  <c:v>717</c:v>
                </c:pt>
                <c:pt idx="20">
                  <c:v>717.55</c:v>
                </c:pt>
                <c:pt idx="21">
                  <c:v>717.55</c:v>
                </c:pt>
                <c:pt idx="22">
                  <c:v>711.18</c:v>
                </c:pt>
                <c:pt idx="23">
                  <c:v>714.51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Navigator!$C$6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4"/>
              <c:layout>
                <c:manualLayout>
                  <c:x val="3.7134502923976609E-3"/>
                  <c:y val="-4.5861111111111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EE-400E-BC06-FC8A3854D65D}"/>
                </c:ext>
              </c:extLst>
            </c:dLbl>
            <c:dLbl>
              <c:idx val="10"/>
              <c:layout>
                <c:manualLayout>
                  <c:x val="1.8567251461988304E-3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E-400E-BC06-FC8A3854D65D}"/>
                </c:ext>
              </c:extLst>
            </c:dLbl>
            <c:dLbl>
              <c:idx val="14"/>
              <c:layout>
                <c:manualLayout>
                  <c:x val="-6.8079135571306906E-17"/>
                  <c:y val="-4.2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EE-400E-BC06-FC8A3854D65D}"/>
                </c:ext>
              </c:extLst>
            </c:dLbl>
            <c:dLbl>
              <c:idx val="16"/>
              <c:layout>
                <c:manualLayout>
                  <c:x val="0"/>
                  <c:y val="-2.4694444444444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EE-400E-BC06-FC8A3854D65D}"/>
                </c:ext>
              </c:extLst>
            </c:dLbl>
            <c:dLbl>
              <c:idx val="17"/>
              <c:layout>
                <c:manualLayout>
                  <c:x val="-1.8567251461988304E-3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E-400E-BC06-FC8A3854D65D}"/>
                </c:ext>
              </c:extLst>
            </c:dLbl>
            <c:dLbl>
              <c:idx val="19"/>
              <c:layout>
                <c:manualLayout>
                  <c:x val="0"/>
                  <c:y val="-1.7638888888888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E-400E-BC06-FC8A3854D65D}"/>
                </c:ext>
              </c:extLst>
            </c:dLbl>
            <c:dLbl>
              <c:idx val="22"/>
              <c:layout>
                <c:manualLayout>
                  <c:x val="0"/>
                  <c:y val="-3.1750000000000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E-400E-BC06-FC8A3854D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Navigator!$H$6:$AE$6</c:f>
              <c:numCache>
                <c:formatCode>#,##0</c:formatCode>
                <c:ptCount val="24"/>
                <c:pt idx="0">
                  <c:v>255.811475</c:v>
                </c:pt>
                <c:pt idx="1">
                  <c:v>255.28619499999999</c:v>
                </c:pt>
                <c:pt idx="2">
                  <c:v>540.82799999999997</c:v>
                </c:pt>
                <c:pt idx="3">
                  <c:v>1049.874</c:v>
                </c:pt>
                <c:pt idx="4">
                  <c:v>1085.604</c:v>
                </c:pt>
                <c:pt idx="5">
                  <c:v>1000.6180000000001</c:v>
                </c:pt>
                <c:pt idx="6">
                  <c:v>978.33158300000002</c:v>
                </c:pt>
                <c:pt idx="7">
                  <c:v>1029.0861480000001</c:v>
                </c:pt>
                <c:pt idx="8">
                  <c:v>1136.968629</c:v>
                </c:pt>
                <c:pt idx="9">
                  <c:v>1072.8974920000001</c:v>
                </c:pt>
                <c:pt idx="10">
                  <c:v>1127.082866</c:v>
                </c:pt>
                <c:pt idx="11">
                  <c:v>1091.194393</c:v>
                </c:pt>
                <c:pt idx="12">
                  <c:v>1381.9179369999999</c:v>
                </c:pt>
                <c:pt idx="13">
                  <c:v>1484.263944</c:v>
                </c:pt>
                <c:pt idx="14">
                  <c:v>1498.5595149999999</c:v>
                </c:pt>
                <c:pt idx="15">
                  <c:v>1526.951626</c:v>
                </c:pt>
                <c:pt idx="16">
                  <c:v>1537.678167</c:v>
                </c:pt>
                <c:pt idx="17">
                  <c:v>1624.102449</c:v>
                </c:pt>
                <c:pt idx="18">
                  <c:v>1577</c:v>
                </c:pt>
                <c:pt idx="19">
                  <c:v>1637</c:v>
                </c:pt>
                <c:pt idx="20">
                  <c:v>1692</c:v>
                </c:pt>
                <c:pt idx="21">
                  <c:v>1688</c:v>
                </c:pt>
                <c:pt idx="22">
                  <c:v>1385</c:v>
                </c:pt>
                <c:pt idx="23">
                  <c:v>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Navigator!$C$27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Navigator!$H$27:$AE$27</c:f>
              <c:numCache>
                <c:formatCode>0.0</c:formatCode>
                <c:ptCount val="24"/>
                <c:pt idx="0">
                  <c:v>1.9045275431839015</c:v>
                </c:pt>
                <c:pt idx="1">
                  <c:v>2.3344388050438845</c:v>
                </c:pt>
                <c:pt idx="2">
                  <c:v>1.1662672790609954</c:v>
                </c:pt>
                <c:pt idx="3">
                  <c:v>0.86206535260421724</c:v>
                </c:pt>
                <c:pt idx="4">
                  <c:v>0.81956219763375948</c:v>
                </c:pt>
                <c:pt idx="5">
                  <c:v>1.0731368014566998</c:v>
                </c:pt>
                <c:pt idx="6">
                  <c:v>1.1211025168345199</c:v>
                </c:pt>
                <c:pt idx="7">
                  <c:v>1.2521400686466142</c:v>
                </c:pt>
                <c:pt idx="8">
                  <c:v>1.6190420325132824</c:v>
                </c:pt>
                <c:pt idx="9">
                  <c:v>1.594197034435793</c:v>
                </c:pt>
                <c:pt idx="10">
                  <c:v>1.0362556607261919</c:v>
                </c:pt>
                <c:pt idx="11">
                  <c:v>1.3674612054206186</c:v>
                </c:pt>
                <c:pt idx="12">
                  <c:v>1.2391925411414644</c:v>
                </c:pt>
                <c:pt idx="13">
                  <c:v>0.92788557289107054</c:v>
                </c:pt>
                <c:pt idx="14">
                  <c:v>1.1115794757073763</c:v>
                </c:pt>
                <c:pt idx="15">
                  <c:v>1.3700492958511052</c:v>
                </c:pt>
                <c:pt idx="16">
                  <c:v>1.4388979745460611</c:v>
                </c:pt>
                <c:pt idx="17">
                  <c:v>1.5875427080277742</c:v>
                </c:pt>
                <c:pt idx="18">
                  <c:v>1.4855025364616361</c:v>
                </c:pt>
                <c:pt idx="19">
                  <c:v>1.8623604153940132</c:v>
                </c:pt>
                <c:pt idx="20">
                  <c:v>1.5267021276595745</c:v>
                </c:pt>
                <c:pt idx="21">
                  <c:v>1.5252188388625592</c:v>
                </c:pt>
                <c:pt idx="22">
                  <c:v>1.2826914368231046</c:v>
                </c:pt>
                <c:pt idx="23">
                  <c:v>1.5333814862267776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Navigator!$C$7</c:f>
              <c:strCache>
                <c:ptCount val="1"/>
                <c:pt idx="0">
                  <c:v>EBITDA Navigator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spPr>
                <a:solidFill>
                  <a:srgbClr val="00FF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8B-4601-9A6B-FED4FBBA4060}"/>
                </c:ext>
              </c:extLst>
            </c:dLbl>
            <c:dLbl>
              <c:idx val="12"/>
              <c:layout>
                <c:manualLayout>
                  <c:x val="-3.005085529357374E-2"/>
                  <c:y val="-7.78361548939482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B-4601-9A6B-FED4FBBA4060}"/>
                </c:ext>
              </c:extLst>
            </c:dLbl>
            <c:dLbl>
              <c:idx val="14"/>
              <c:layout>
                <c:manualLayout>
                  <c:x val="0"/>
                  <c:y val="-2.3350846468184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B-4601-9A6B-FED4FBBA4060}"/>
                </c:ext>
              </c:extLst>
            </c:dLbl>
            <c:dLbl>
              <c:idx val="17"/>
              <c:layout>
                <c:manualLayout>
                  <c:x val="-1.155802126675913E-2"/>
                  <c:y val="-3.567449221161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B-4601-9A6B-FED4FBBA4060}"/>
                </c:ext>
              </c:extLst>
            </c:dLbl>
            <c:dLbl>
              <c:idx val="19"/>
              <c:layout>
                <c:manualLayout>
                  <c:x val="-6.934812760055563E-3"/>
                  <c:y val="-2.3350846468184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B-4601-9A6B-FED4FBBA4060}"/>
                </c:ext>
              </c:extLst>
            </c:dLbl>
            <c:dLbl>
              <c:idx val="21"/>
              <c:spPr>
                <a:solidFill>
                  <a:srgbClr val="00FF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8B-4601-9A6B-FED4FBBA4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Navigator!$H$7:$AE$7</c:f>
              <c:numCache>
                <c:formatCode>#,##0</c:formatCode>
                <c:ptCount val="24"/>
                <c:pt idx="0">
                  <c:v>48.924689999999998</c:v>
                </c:pt>
                <c:pt idx="1">
                  <c:v>81.701980000000006</c:v>
                </c:pt>
                <c:pt idx="2">
                  <c:v>219.10000000000002</c:v>
                </c:pt>
                <c:pt idx="3">
                  <c:v>317.42200000000003</c:v>
                </c:pt>
                <c:pt idx="4">
                  <c:v>335.92700000000002</c:v>
                </c:pt>
                <c:pt idx="5">
                  <c:v>255.17400000000001</c:v>
                </c:pt>
                <c:pt idx="6">
                  <c:v>221.84781999999998</c:v>
                </c:pt>
                <c:pt idx="7">
                  <c:v>261.32465000000002</c:v>
                </c:pt>
                <c:pt idx="8">
                  <c:v>286.47199599999999</c:v>
                </c:pt>
                <c:pt idx="9">
                  <c:v>330.79531800000001</c:v>
                </c:pt>
                <c:pt idx="10">
                  <c:v>209.12753000000001</c:v>
                </c:pt>
                <c:pt idx="11">
                  <c:v>292.67536899999999</c:v>
                </c:pt>
                <c:pt idx="12">
                  <c:v>399.00151399999999</c:v>
                </c:pt>
                <c:pt idx="13">
                  <c:v>390.68386699999996</c:v>
                </c:pt>
                <c:pt idx="14">
                  <c:v>400.36821099999997</c:v>
                </c:pt>
                <c:pt idx="15">
                  <c:v>336.53164700000002</c:v>
                </c:pt>
                <c:pt idx="16">
                  <c:v>329.77892300000002</c:v>
                </c:pt>
                <c:pt idx="17">
                  <c:v>404.579025</c:v>
                </c:pt>
                <c:pt idx="18">
                  <c:v>397.02045799999996</c:v>
                </c:pt>
                <c:pt idx="19">
                  <c:v>403.8</c:v>
                </c:pt>
                <c:pt idx="20">
                  <c:v>436.04982600000005</c:v>
                </c:pt>
                <c:pt idx="21">
                  <c:v>372.1</c:v>
                </c:pt>
                <c:pt idx="22">
                  <c:v>285.5</c:v>
                </c:pt>
                <c:pt idx="23">
                  <c:v>350.94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Navigator!$C$28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21"/>
              <c:layout>
                <c:manualLayout>
                  <c:x val="-3.005085529357391E-2"/>
                  <c:y val="7.7836154893948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8B-4601-9A6B-FED4FBBA4060}"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Navigator!$H$28:$AE$28</c:f>
              <c:numCache>
                <c:formatCode>0.0</c:formatCode>
                <c:ptCount val="24"/>
                <c:pt idx="0">
                  <c:v>9.9581622285189759</c:v>
                </c:pt>
                <c:pt idx="1">
                  <c:v>7.2941928702339895</c:v>
                </c:pt>
                <c:pt idx="2">
                  <c:v>2.8788224554997717</c:v>
                </c:pt>
                <c:pt idx="3">
                  <c:v>2.8512831498761897</c:v>
                </c:pt>
                <c:pt idx="4">
                  <c:v>2.648551619845978</c:v>
                </c:pt>
                <c:pt idx="5">
                  <c:v>4.2081089766198749</c:v>
                </c:pt>
                <c:pt idx="6">
                  <c:v>4.9439746579434498</c:v>
                </c:pt>
                <c:pt idx="7">
                  <c:v>4.9308781242029784</c:v>
                </c:pt>
                <c:pt idx="8">
                  <c:v>6.4257589771532153</c:v>
                </c:pt>
                <c:pt idx="9">
                  <c:v>5.170599180004114</c:v>
                </c:pt>
                <c:pt idx="10">
                  <c:v>5.5848505455020669</c:v>
                </c:pt>
                <c:pt idx="11">
                  <c:v>5.0983654863009678</c:v>
                </c:pt>
                <c:pt idx="12">
                  <c:v>4.2918694288463275</c:v>
                </c:pt>
                <c:pt idx="13">
                  <c:v>3.5251701345528046</c:v>
                </c:pt>
                <c:pt idx="14">
                  <c:v>4.1605900624313055</c:v>
                </c:pt>
                <c:pt idx="15">
                  <c:v>6.2163514743681745</c:v>
                </c:pt>
                <c:pt idx="16">
                  <c:v>6.7092280485129727</c:v>
                </c:pt>
                <c:pt idx="17">
                  <c:v>6.3728761025117402</c:v>
                </c:pt>
                <c:pt idx="18">
                  <c:v>5.900546062036935</c:v>
                </c:pt>
                <c:pt idx="19">
                  <c:v>7.5499851411589889</c:v>
                </c:pt>
                <c:pt idx="20">
                  <c:v>5.9240477715498496</c:v>
                </c:pt>
                <c:pt idx="21">
                  <c:v>6.9190255307712976</c:v>
                </c:pt>
                <c:pt idx="22">
                  <c:v>6.2225136252189142</c:v>
                </c:pt>
                <c:pt idx="23">
                  <c:v>6.8205633441613944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Navigator!$C$32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47-4EF3-BD66-C553F18CF0D3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47-4EF3-BD66-C553F18CF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Navigator!$H$32:$AE$32</c:f>
              <c:numCache>
                <c:formatCode>0.0%</c:formatCode>
                <c:ptCount val="24"/>
                <c:pt idx="0">
                  <c:v>0.19125291388902707</c:v>
                </c:pt>
                <c:pt idx="1">
                  <c:v>0.32004072919023296</c:v>
                </c:pt>
                <c:pt idx="2">
                  <c:v>0.40511955741936445</c:v>
                </c:pt>
                <c:pt idx="3">
                  <c:v>0.30234294782040511</c:v>
                </c:pt>
                <c:pt idx="4">
                  <c:v>0.30943787974252124</c:v>
                </c:pt>
                <c:pt idx="5">
                  <c:v>0.2550163998648835</c:v>
                </c:pt>
                <c:pt idx="6">
                  <c:v>0.22676138014446579</c:v>
                </c:pt>
                <c:pt idx="7">
                  <c:v>0.25393855558922557</c:v>
                </c:pt>
                <c:pt idx="8">
                  <c:v>0.25196121396239507</c:v>
                </c:pt>
                <c:pt idx="9">
                  <c:v>0.30831959294019862</c:v>
                </c:pt>
                <c:pt idx="10">
                  <c:v>0.18554760817382526</c:v>
                </c:pt>
                <c:pt idx="11">
                  <c:v>0.26821560931536054</c:v>
                </c:pt>
                <c:pt idx="12">
                  <c:v>0.28873025186010015</c:v>
                </c:pt>
                <c:pt idx="13">
                  <c:v>0.26321724554403103</c:v>
                </c:pt>
                <c:pt idx="14">
                  <c:v>0.26716870901186729</c:v>
                </c:pt>
                <c:pt idx="15">
                  <c:v>0.22039443900497213</c:v>
                </c:pt>
                <c:pt idx="16">
                  <c:v>0.21446550395093175</c:v>
                </c:pt>
                <c:pt idx="17">
                  <c:v>0.24910930049339516</c:v>
                </c:pt>
                <c:pt idx="18">
                  <c:v>0.25175679010779961</c:v>
                </c:pt>
                <c:pt idx="19">
                  <c:v>0.2466707391569945</c:v>
                </c:pt>
                <c:pt idx="20">
                  <c:v>0.2577126631205674</c:v>
                </c:pt>
                <c:pt idx="21">
                  <c:v>0.22043838862559242</c:v>
                </c:pt>
                <c:pt idx="22">
                  <c:v>0.20613718411552345</c:v>
                </c:pt>
                <c:pt idx="23">
                  <c:v>0.22481742472773864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Navigator!$C$33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47-4EF3-BD66-C553F18CF0D3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47-4EF3-BD66-C553F18CF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Navigator!$H$33:$AE$33</c:f>
              <c:numCache>
                <c:formatCode>0.0%</c:formatCode>
                <c:ptCount val="24"/>
                <c:pt idx="0">
                  <c:v>2.4366909263941347E-2</c:v>
                </c:pt>
                <c:pt idx="1">
                  <c:v>0.15313722702475158</c:v>
                </c:pt>
                <c:pt idx="2">
                  <c:v>0.27795158534691256</c:v>
                </c:pt>
                <c:pt idx="3">
                  <c:v>0.16442830282491042</c:v>
                </c:pt>
                <c:pt idx="4">
                  <c:v>0.17655240769193922</c:v>
                </c:pt>
                <c:pt idx="5">
                  <c:v>0.11090046351354861</c:v>
                </c:pt>
                <c:pt idx="6">
                  <c:v>9.5912776026571347E-2</c:v>
                </c:pt>
                <c:pt idx="7">
                  <c:v>0.12834438230141251</c:v>
                </c:pt>
                <c:pt idx="8">
                  <c:v>0.18409605037572238</c:v>
                </c:pt>
                <c:pt idx="9">
                  <c:v>0.24263551172510336</c:v>
                </c:pt>
                <c:pt idx="10">
                  <c:v>0.11718734352581313</c:v>
                </c:pt>
                <c:pt idx="11">
                  <c:v>0.16599364710995174</c:v>
                </c:pt>
                <c:pt idx="12">
                  <c:v>0.20103706780383154</c:v>
                </c:pt>
                <c:pt idx="13">
                  <c:v>0.17931882269047422</c:v>
                </c:pt>
                <c:pt idx="14">
                  <c:v>0.1909796021681528</c:v>
                </c:pt>
                <c:pt idx="15">
                  <c:v>0.15305714406436605</c:v>
                </c:pt>
                <c:pt idx="16">
                  <c:v>0.1419520564734662</c:v>
                </c:pt>
                <c:pt idx="17">
                  <c:v>0.17416579241917024</c:v>
                </c:pt>
                <c:pt idx="18">
                  <c:v>0.14607440393151552</c:v>
                </c:pt>
                <c:pt idx="19">
                  <c:v>0.15580307574832009</c:v>
                </c:pt>
                <c:pt idx="20">
                  <c:v>0.17917257683215132</c:v>
                </c:pt>
                <c:pt idx="21">
                  <c:v>0.13838270142180095</c:v>
                </c:pt>
                <c:pt idx="22">
                  <c:v>0.10139350180505416</c:v>
                </c:pt>
                <c:pt idx="23">
                  <c:v>0.14226777706598334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Navigator!$C$35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7648245614035104E-2"/>
                  <c:y val="3.2111666666666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47-4EF3-BD66-C553F18CF0D3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7-4EF3-BD66-C553F18CF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Navigator!$H$35:$AE$35</c:f>
              <c:numCache>
                <c:formatCode>0.0%</c:formatCode>
                <c:ptCount val="24"/>
                <c:pt idx="0">
                  <c:v>1.6220890794676042E-2</c:v>
                </c:pt>
                <c:pt idx="1">
                  <c:v>6.3839135523955759E-2</c:v>
                </c:pt>
                <c:pt idx="2">
                  <c:v>0.1428143513279638</c:v>
                </c:pt>
                <c:pt idx="3">
                  <c:v>6.8293909554860865E-2</c:v>
                </c:pt>
                <c:pt idx="4">
                  <c:v>8.2429688910505117E-2</c:v>
                </c:pt>
                <c:pt idx="5">
                  <c:v>6.6798718392033718E-2</c:v>
                </c:pt>
                <c:pt idx="6">
                  <c:v>5.2424096176807163E-2</c:v>
                </c:pt>
                <c:pt idx="7">
                  <c:v>6.1725054917365373E-2</c:v>
                </c:pt>
                <c:pt idx="8">
                  <c:v>0.10963585873924758</c:v>
                </c:pt>
                <c:pt idx="9">
                  <c:v>0.14350957491100183</c:v>
                </c:pt>
                <c:pt idx="10">
                  <c:v>0.11629510744421165</c:v>
                </c:pt>
                <c:pt idx="11">
                  <c:v>9.6291244414412974E-2</c:v>
                </c:pt>
                <c:pt idx="12">
                  <c:v>0.15238826732154936</c:v>
                </c:pt>
                <c:pt idx="13">
                  <c:v>0.13227525319445474</c:v>
                </c:pt>
                <c:pt idx="14">
                  <c:v>0.14091474304909404</c:v>
                </c:pt>
                <c:pt idx="15">
                  <c:v>0.13755756791734802</c:v>
                </c:pt>
                <c:pt idx="16">
                  <c:v>0.1180152133876269</c:v>
                </c:pt>
                <c:pt idx="17">
                  <c:v>0.12115339283008494</c:v>
                </c:pt>
                <c:pt idx="18">
                  <c:v>0.13792010145846545</c:v>
                </c:pt>
                <c:pt idx="19">
                  <c:v>0.1269211973121564</c:v>
                </c:pt>
                <c:pt idx="20">
                  <c:v>0.13306146572104019</c:v>
                </c:pt>
                <c:pt idx="21">
                  <c:v>9.9703791469194322E-2</c:v>
                </c:pt>
                <c:pt idx="22">
                  <c:v>7.8851985559566781E-2</c:v>
                </c:pt>
                <c:pt idx="23">
                  <c:v>0.10320948110185779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Navigator!$C$12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Navigator!$I$12:$AE$12</c:f>
              <c:numCache>
                <c:formatCode>#,##0</c:formatCode>
                <c:ptCount val="23"/>
                <c:pt idx="0">
                  <c:v>16.297249999999998</c:v>
                </c:pt>
                <c:pt idx="1">
                  <c:v>77.238</c:v>
                </c:pt>
                <c:pt idx="2">
                  <c:v>71.7</c:v>
                </c:pt>
                <c:pt idx="3">
                  <c:v>89.486000000000004</c:v>
                </c:pt>
                <c:pt idx="4">
                  <c:v>66.84</c:v>
                </c:pt>
                <c:pt idx="5">
                  <c:v>51.288148999999997</c:v>
                </c:pt>
                <c:pt idx="6">
                  <c:v>63.520398999999998</c:v>
                </c:pt>
                <c:pt idx="7">
                  <c:v>124.65253199999999</c:v>
                </c:pt>
                <c:pt idx="8">
                  <c:v>153.97106299999999</c:v>
                </c:pt>
                <c:pt idx="9">
                  <c:v>131.07422299999999</c:v>
                </c:pt>
                <c:pt idx="10">
                  <c:v>105.07246600000001</c:v>
                </c:pt>
                <c:pt idx="11">
                  <c:v>210.58807999999999</c:v>
                </c:pt>
                <c:pt idx="12">
                  <c:v>196.331389</c:v>
                </c:pt>
                <c:pt idx="13">
                  <c:v>211.169129</c:v>
                </c:pt>
                <c:pt idx="14">
                  <c:v>210.04375200000001</c:v>
                </c:pt>
                <c:pt idx="15">
                  <c:v>181.46941699999999</c:v>
                </c:pt>
                <c:pt idx="16">
                  <c:v>196.765522</c:v>
                </c:pt>
                <c:pt idx="17">
                  <c:v>217.5</c:v>
                </c:pt>
                <c:pt idx="18">
                  <c:v>207.77</c:v>
                </c:pt>
                <c:pt idx="19">
                  <c:v>225.14</c:v>
                </c:pt>
                <c:pt idx="20">
                  <c:v>168.3</c:v>
                </c:pt>
                <c:pt idx="21">
                  <c:v>109.21</c:v>
                </c:pt>
                <c:pt idx="22">
                  <c:v>161.11000000000001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Navigator!$C$36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C2-44D1-9085-369EB02B8245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Navigator!$I$36:$AE$36</c:f>
              <c:numCache>
                <c:formatCode>0.0</c:formatCode>
                <c:ptCount val="23"/>
                <c:pt idx="0">
                  <c:v>36.567519059964113</c:v>
                </c:pt>
                <c:pt idx="1">
                  <c:v>8.1663170978016009</c:v>
                </c:pt>
                <c:pt idx="2">
                  <c:v>12.622873082287306</c:v>
                </c:pt>
                <c:pt idx="3">
                  <c:v>9.9425608475068703</c:v>
                </c:pt>
                <c:pt idx="4">
                  <c:v>16.06523040095751</c:v>
                </c:pt>
                <c:pt idx="5">
                  <c:v>21.385252175897399</c:v>
                </c:pt>
                <c:pt idx="6">
                  <c:v>20.285766781786116</c:v>
                </c:pt>
                <c:pt idx="7">
                  <c:v>14.767449729781662</c:v>
                </c:pt>
                <c:pt idx="8">
                  <c:v>11.108645784955062</c:v>
                </c:pt>
                <c:pt idx="9">
                  <c:v>8.9105697006496847</c:v>
                </c:pt>
                <c:pt idx="10">
                  <c:v>14.201303698344722</c:v>
                </c:pt>
                <c:pt idx="11">
                  <c:v>8.1318106893799502</c:v>
                </c:pt>
                <c:pt idx="12">
                  <c:v>7.0148085184687394</c:v>
                </c:pt>
                <c:pt idx="13">
                  <c:v>7.8883121216075089</c:v>
                </c:pt>
                <c:pt idx="14">
                  <c:v>9.9598249416150217</c:v>
                </c:pt>
                <c:pt idx="15">
                  <c:v>12.192478691877872</c:v>
                </c:pt>
                <c:pt idx="16">
                  <c:v>13.1035761437921</c:v>
                </c:pt>
                <c:pt idx="17">
                  <c:v>10.770747126436783</c:v>
                </c:pt>
                <c:pt idx="18">
                  <c:v>14.673359965346295</c:v>
                </c:pt>
                <c:pt idx="19">
                  <c:v>11.473660833259306</c:v>
                </c:pt>
                <c:pt idx="20">
                  <c:v>15.297500891265596</c:v>
                </c:pt>
                <c:pt idx="21">
                  <c:v>16.26707847266734</c:v>
                </c:pt>
                <c:pt idx="22">
                  <c:v>14.856982806777975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Navigator!$C$38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89-A3CF-6A81128DA198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1-45AE-8F52-622E54493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Navigator!$H$38:$AE$38</c:f>
              <c:numCache>
                <c:formatCode>0%</c:formatCode>
                <c:ptCount val="24"/>
                <c:pt idx="0">
                  <c:v>1.1744074036029705E-2</c:v>
                </c:pt>
                <c:pt idx="1">
                  <c:v>7.2706426810728988E-2</c:v>
                </c:pt>
                <c:pt idx="2">
                  <c:v>0.24909648586441574</c:v>
                </c:pt>
                <c:pt idx="3">
                  <c:v>0.17363154856139348</c:v>
                </c:pt>
                <c:pt idx="4">
                  <c:v>7.0213575787148819E-2</c:v>
                </c:pt>
                <c:pt idx="5">
                  <c:v>4.0774925307762146E-2</c:v>
                </c:pt>
                <c:pt idx="6">
                  <c:v>9.3016198412282175E-2</c:v>
                </c:pt>
                <c:pt idx="7">
                  <c:v>0.12768011097605425</c:v>
                </c:pt>
                <c:pt idx="8">
                  <c:v>0.18628446680458996</c:v>
                </c:pt>
                <c:pt idx="9">
                  <c:v>0.22131711220218928</c:v>
                </c:pt>
                <c:pt idx="10">
                  <c:v>0.10598111689693504</c:v>
                </c:pt>
                <c:pt idx="11">
                  <c:v>0.1425864579748477</c:v>
                </c:pt>
                <c:pt idx="12">
                  <c:v>0.21313087659431468</c:v>
                </c:pt>
                <c:pt idx="13">
                  <c:v>0.18005985267417476</c:v>
                </c:pt>
                <c:pt idx="14">
                  <c:v>0.19326523984318819</c:v>
                </c:pt>
                <c:pt idx="15">
                  <c:v>0.15793131440151439</c:v>
                </c:pt>
                <c:pt idx="16">
                  <c:v>0.15015625169636126</c:v>
                </c:pt>
                <c:pt idx="17">
                  <c:v>0.23462432813536829</c:v>
                </c:pt>
                <c:pt idx="18">
                  <c:v>0.18713187246141347</c:v>
                </c:pt>
                <c:pt idx="19">
                  <c:v>0.21532261291684254</c:v>
                </c:pt>
                <c:pt idx="20">
                  <c:v>0.25552933243425491</c:v>
                </c:pt>
                <c:pt idx="21">
                  <c:v>0.22742673546879566</c:v>
                </c:pt>
                <c:pt idx="22">
                  <c:v>0.13688468661662931</c:v>
                </c:pt>
                <c:pt idx="23">
                  <c:v>0.21399113509346698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Navigator!$C$39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89-A3CF-6A81128DA198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1-45AE-8F52-622E54493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Navigator!$H$39:$AE$39</c:f>
              <c:numCache>
                <c:formatCode>0%</c:formatCode>
                <c:ptCount val="24"/>
                <c:pt idx="0">
                  <c:v>7.8179526323813656E-3</c:v>
                </c:pt>
                <c:pt idx="1">
                  <c:v>3.0309517318623577E-2</c:v>
                </c:pt>
                <c:pt idx="2">
                  <c:v>0.12798830775655079</c:v>
                </c:pt>
                <c:pt idx="3">
                  <c:v>7.2116400094143593E-2</c:v>
                </c:pt>
                <c:pt idx="4">
                  <c:v>3.2781672507845937E-2</c:v>
                </c:pt>
                <c:pt idx="5">
                  <c:v>2.45599762777967E-2</c:v>
                </c:pt>
                <c:pt idx="6">
                  <c:v>5.0840882034480443E-2</c:v>
                </c:pt>
                <c:pt idx="7">
                  <c:v>6.1405584884454405E-2</c:v>
                </c:pt>
                <c:pt idx="8">
                  <c:v>0.11093913990127309</c:v>
                </c:pt>
                <c:pt idx="9">
                  <c:v>0.1309005613681595</c:v>
                </c:pt>
                <c:pt idx="10">
                  <c:v>0.10517420231368023</c:v>
                </c:pt>
                <c:pt idx="11">
                  <c:v>8.2712969526761757E-2</c:v>
                </c:pt>
                <c:pt idx="12">
                  <c:v>0.16155550492122508</c:v>
                </c:pt>
                <c:pt idx="13">
                  <c:v>0.13282187695234024</c:v>
                </c:pt>
                <c:pt idx="14">
                  <c:v>0.14260120611648153</c:v>
                </c:pt>
                <c:pt idx="15">
                  <c:v>0.14193814761058368</c:v>
                </c:pt>
                <c:pt idx="16">
                  <c:v>0.12483596592871242</c:v>
                </c:pt>
                <c:pt idx="17">
                  <c:v>0.16320962342402126</c:v>
                </c:pt>
                <c:pt idx="18">
                  <c:v>0.17668562144597888</c:v>
                </c:pt>
                <c:pt idx="19">
                  <c:v>0.1754073448712537</c:v>
                </c:pt>
                <c:pt idx="20">
                  <c:v>0.1897673634524612</c:v>
                </c:pt>
                <c:pt idx="21">
                  <c:v>0.16385940998929027</c:v>
                </c:pt>
                <c:pt idx="22">
                  <c:v>0.10645287065016082</c:v>
                </c:pt>
                <c:pt idx="23">
                  <c:v>0.15524185777606478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Navigator!$C$37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Navigator!$H$3:$AE$3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Navigator!$H$37:$AE$37</c:f>
              <c:numCache>
                <c:formatCode>0.0</c:formatCode>
                <c:ptCount val="24"/>
                <c:pt idx="0">
                  <c:v>0.91792160542529366</c:v>
                </c:pt>
                <c:pt idx="1">
                  <c:v>1.1083438522470799</c:v>
                </c:pt>
                <c:pt idx="2">
                  <c:v>1.045193105951014</c:v>
                </c:pt>
                <c:pt idx="3">
                  <c:v>0.91031616553982686</c:v>
                </c:pt>
                <c:pt idx="4">
                  <c:v>0.32593377359230141</c:v>
                </c:pt>
                <c:pt idx="5">
                  <c:v>0.39456167754485477</c:v>
                </c:pt>
                <c:pt idx="6">
                  <c:v>1.0872450831524159</c:v>
                </c:pt>
                <c:pt idx="7">
                  <c:v>1.2456593740652129</c:v>
                </c:pt>
                <c:pt idx="8">
                  <c:v>1.6382881715572652</c:v>
                </c:pt>
                <c:pt idx="9">
                  <c:v>1.4541279692906564</c:v>
                </c:pt>
                <c:pt idx="10">
                  <c:v>0.93716206042627903</c:v>
                </c:pt>
                <c:pt idx="11">
                  <c:v>1.1746320000414761</c:v>
                </c:pt>
                <c:pt idx="12">
                  <c:v>1.3137387818465933</c:v>
                </c:pt>
                <c:pt idx="13">
                  <c:v>0.93172003388428315</c:v>
                </c:pt>
                <c:pt idx="14">
                  <c:v>1.124882822764492</c:v>
                </c:pt>
                <c:pt idx="15">
                  <c:v>1.4136791027385258</c:v>
                </c:pt>
                <c:pt idx="16">
                  <c:v>1.5220598545658182</c:v>
                </c:pt>
                <c:pt idx="17">
                  <c:v>2.1386297279362974</c:v>
                </c:pt>
                <c:pt idx="18">
                  <c:v>1.9030361494719743</c:v>
                </c:pt>
                <c:pt idx="19">
                  <c:v>2.5738151118615447</c:v>
                </c:pt>
                <c:pt idx="20">
                  <c:v>2.1773263654753876</c:v>
                </c:pt>
                <c:pt idx="21">
                  <c:v>2.5066394703534223</c:v>
                </c:pt>
                <c:pt idx="22">
                  <c:v>1.7316772005068719</c:v>
                </c:pt>
                <c:pt idx="23">
                  <c:v>2.306425611871266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Navigator!$C$41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Navigator!$H$41:$AE$41</c:f>
              <c:numCache>
                <c:formatCode>0.0</c:formatCode>
                <c:ptCount val="24"/>
                <c:pt idx="0">
                  <c:v>2.4603529434509643</c:v>
                </c:pt>
                <c:pt idx="1">
                  <c:v>5.2801391532865196</c:v>
                </c:pt>
                <c:pt idx="2">
                  <c:v>1.3073628455575708</c:v>
                </c:pt>
                <c:pt idx="3">
                  <c:v>0.81898246303758715</c:v>
                </c:pt>
                <c:pt idx="4">
                  <c:v>1.8392213173153862</c:v>
                </c:pt>
                <c:pt idx="5">
                  <c:v>1.6807855926464115</c:v>
                </c:pt>
                <c:pt idx="6">
                  <c:v>1.440260979128932</c:v>
                </c:pt>
                <c:pt idx="7">
                  <c:v>1.7393903320236292</c:v>
                </c:pt>
                <c:pt idx="8">
                  <c:v>2.7677454922643863</c:v>
                </c:pt>
                <c:pt idx="9">
                  <c:v>2.1888501702150966</c:v>
                </c:pt>
                <c:pt idx="10">
                  <c:v>2.3360915837641141</c:v>
                </c:pt>
                <c:pt idx="11">
                  <c:v>0.636144157209246</c:v>
                </c:pt>
                <c:pt idx="12">
                  <c:v>1.3613740662440752</c:v>
                </c:pt>
                <c:pt idx="13">
                  <c:v>1.4244981514239601</c:v>
                </c:pt>
                <c:pt idx="14">
                  <c:v>1.433626093760491</c:v>
                </c:pt>
                <c:pt idx="15">
                  <c:v>2.6277463461508797</c:v>
                </c:pt>
                <c:pt idx="16">
                  <c:v>1.5397743632539953</c:v>
                </c:pt>
                <c:pt idx="17">
                  <c:v>1.6274397583563873</c:v>
                </c:pt>
                <c:pt idx="18">
                  <c:v>1.381907015203762</c:v>
                </c:pt>
                <c:pt idx="19">
                  <c:v>1.3808184785724293</c:v>
                </c:pt>
                <c:pt idx="20">
                  <c:v>1.3121200607902737</c:v>
                </c:pt>
                <c:pt idx="21">
                  <c:v>1.3589583333333333</c:v>
                </c:pt>
                <c:pt idx="22">
                  <c:v>1.1220354955237946</c:v>
                </c:pt>
                <c:pt idx="23">
                  <c:v>1.5462241033637782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Navigator!$C$45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Navigator!$H$45:$AE$45</c:f>
              <c:numCache>
                <c:formatCode>0.0</c:formatCode>
                <c:ptCount val="24"/>
                <c:pt idx="0">
                  <c:v>0.30568763029795448</c:v>
                </c:pt>
                <c:pt idx="1">
                  <c:v>0.36184957900183196</c:v>
                </c:pt>
                <c:pt idx="2">
                  <c:v>1.0209502599104854</c:v>
                </c:pt>
                <c:pt idx="3">
                  <c:v>1.6779022073452112</c:v>
                </c:pt>
                <c:pt idx="4">
                  <c:v>0.58340284501514239</c:v>
                </c:pt>
                <c:pt idx="5">
                  <c:v>0.59475561464059712</c:v>
                </c:pt>
                <c:pt idx="6">
                  <c:v>1.2767583603220036</c:v>
                </c:pt>
                <c:pt idx="7">
                  <c:v>0.14662691332225181</c:v>
                </c:pt>
                <c:pt idx="8">
                  <c:v>1.040497941598779</c:v>
                </c:pt>
                <c:pt idx="9">
                  <c:v>1.0902648136716191</c:v>
                </c:pt>
                <c:pt idx="10">
                  <c:v>0.96695850220790192</c:v>
                </c:pt>
                <c:pt idx="11">
                  <c:v>1.015960729102902</c:v>
                </c:pt>
                <c:pt idx="12">
                  <c:v>1.0460372016936117</c:v>
                </c:pt>
                <c:pt idx="13">
                  <c:v>0.90863002081375044</c:v>
                </c:pt>
                <c:pt idx="14">
                  <c:v>0.83982781501541814</c:v>
                </c:pt>
                <c:pt idx="15">
                  <c:v>0.9054061868431843</c:v>
                </c:pt>
                <c:pt idx="16">
                  <c:v>0.8630808939286585</c:v>
                </c:pt>
                <c:pt idx="17">
                  <c:v>1.0154280026542801</c:v>
                </c:pt>
                <c:pt idx="18">
                  <c:v>0.95702680747359858</c:v>
                </c:pt>
                <c:pt idx="19">
                  <c:v>1.0592655128746307</c:v>
                </c:pt>
                <c:pt idx="20">
                  <c:v>1.1609912339851651</c:v>
                </c:pt>
                <c:pt idx="21">
                  <c:v>1.4842761172232501</c:v>
                </c:pt>
                <c:pt idx="22">
                  <c:v>1.4889365435227604</c:v>
                </c:pt>
                <c:pt idx="23">
                  <c:v>1.3884178068992099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NOS!$C$26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-3.8805555555555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5E-49FC-9F67-A3B5A1006B32}"/>
                </c:ext>
              </c:extLst>
            </c:dLbl>
            <c:dLbl>
              <c:idx val="18"/>
              <c:layout>
                <c:manualLayout>
                  <c:x val="0"/>
                  <c:y val="-3.8805555555555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5E-49FC-9F67-A3B5A1006B32}"/>
                </c:ext>
              </c:extLst>
            </c:dLbl>
            <c:dLbl>
              <c:idx val="19"/>
              <c:layout>
                <c:manualLayout>
                  <c:x val="1.8567251461988304E-3"/>
                  <c:y val="-4.233333333333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E-49FC-9F67-A3B5A1006B32}"/>
                </c:ext>
              </c:extLst>
            </c:dLbl>
            <c:dLbl>
              <c:idx val="20"/>
              <c:layout>
                <c:manualLayout>
                  <c:x val="0"/>
                  <c:y val="-6.7027777777777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E-49FC-9F67-A3B5A1006B32}"/>
                </c:ext>
              </c:extLst>
            </c:dLbl>
            <c:dLbl>
              <c:idx val="21"/>
              <c:layout>
                <c:manualLayout>
                  <c:x val="9.2836257309940155E-3"/>
                  <c:y val="-7.761111111111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E-49FC-9F67-A3B5A1006B32}"/>
                </c:ext>
              </c:extLst>
            </c:dLbl>
            <c:dLbl>
              <c:idx val="22"/>
              <c:layout>
                <c:manualLayout>
                  <c:x val="5.5701754385964908E-3"/>
                  <c:y val="-3.5277777777777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5E-49FC-9F67-A3B5A1006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NOS!$E$26:$AB$26</c:f>
              <c:numCache>
                <c:formatCode>#,##0</c:formatCode>
                <c:ptCount val="24"/>
                <c:pt idx="0">
                  <c:v>2149.82861</c:v>
                </c:pt>
                <c:pt idx="1">
                  <c:v>1008.148152</c:v>
                </c:pt>
                <c:pt idx="2">
                  <c:v>487.5</c:v>
                </c:pt>
                <c:pt idx="3">
                  <c:v>785.79809927999986</c:v>
                </c:pt>
                <c:pt idx="4">
                  <c:v>1208.0391708</c:v>
                </c:pt>
                <c:pt idx="5">
                  <c:v>2859.1725089900001</c:v>
                </c:pt>
                <c:pt idx="6">
                  <c:v>2653.5194186111116</c:v>
                </c:pt>
                <c:pt idx="7">
                  <c:v>3145.7366462608693</c:v>
                </c:pt>
                <c:pt idx="8">
                  <c:v>3088.1509106250001</c:v>
                </c:pt>
                <c:pt idx="9">
                  <c:v>1195.4928934375</c:v>
                </c:pt>
                <c:pt idx="10">
                  <c:v>1320.2137324799999</c:v>
                </c:pt>
                <c:pt idx="11">
                  <c:v>1038.6433137500001</c:v>
                </c:pt>
                <c:pt idx="12">
                  <c:v>735.62973807272726</c:v>
                </c:pt>
                <c:pt idx="13">
                  <c:v>912.97799999999995</c:v>
                </c:pt>
                <c:pt idx="14">
                  <c:v>2026.6200000000001</c:v>
                </c:pt>
                <c:pt idx="15">
                  <c:v>2620.7925333333333</c:v>
                </c:pt>
                <c:pt idx="16">
                  <c:v>3735.8564500000007</c:v>
                </c:pt>
                <c:pt idx="17">
                  <c:v>2887.3889399999998</c:v>
                </c:pt>
                <c:pt idx="18">
                  <c:v>2810.9308500000002</c:v>
                </c:pt>
                <c:pt idx="19">
                  <c:v>2716.8115500000004</c:v>
                </c:pt>
                <c:pt idx="20">
                  <c:v>2463.5039999999999</c:v>
                </c:pt>
                <c:pt idx="21">
                  <c:v>1464.7250000000001</c:v>
                </c:pt>
                <c:pt idx="22">
                  <c:v>1750.8304000000003</c:v>
                </c:pt>
                <c:pt idx="23">
                  <c:v>1803.2012800000002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NOS!$C$5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5E-49FC-9F67-A3B5A1006B32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5E-49FC-9F67-A3B5A1006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NOS!$E$5:$AB$5</c:f>
              <c:numCache>
                <c:formatCode>#,##0</c:formatCode>
                <c:ptCount val="24"/>
                <c:pt idx="0">
                  <c:v>79.948999999999998</c:v>
                </c:pt>
                <c:pt idx="1">
                  <c:v>84.647199999999998</c:v>
                </c:pt>
                <c:pt idx="2">
                  <c:v>125</c:v>
                </c:pt>
                <c:pt idx="3">
                  <c:v>156.84592799999999</c:v>
                </c:pt>
                <c:pt idx="4">
                  <c:v>156.888204</c:v>
                </c:pt>
                <c:pt idx="5">
                  <c:v>309.26690200000002</c:v>
                </c:pt>
                <c:pt idx="6">
                  <c:v>274.97610555555559</c:v>
                </c:pt>
                <c:pt idx="7">
                  <c:v>322.30908260869563</c:v>
                </c:pt>
                <c:pt idx="8">
                  <c:v>323.36658749999998</c:v>
                </c:pt>
                <c:pt idx="9">
                  <c:v>322.23528125000001</c:v>
                </c:pt>
                <c:pt idx="10">
                  <c:v>304.33695999999998</c:v>
                </c:pt>
                <c:pt idx="11" formatCode="0">
                  <c:v>306.38445833333333</c:v>
                </c:pt>
                <c:pt idx="12" formatCode="0">
                  <c:v>316.80867272727272</c:v>
                </c:pt>
                <c:pt idx="13" formatCode="0">
                  <c:v>307.39999999999998</c:v>
                </c:pt>
                <c:pt idx="14" formatCode="0">
                  <c:v>375.3</c:v>
                </c:pt>
                <c:pt idx="15" formatCode="0">
                  <c:v>500.53333333333336</c:v>
                </c:pt>
                <c:pt idx="16" formatCode="0">
                  <c:v>515.57500000000005</c:v>
                </c:pt>
                <c:pt idx="17" formatCode="0">
                  <c:v>512.13</c:v>
                </c:pt>
                <c:pt idx="18" formatCode="0">
                  <c:v>512.85</c:v>
                </c:pt>
                <c:pt idx="19">
                  <c:v>513.09</c:v>
                </c:pt>
                <c:pt idx="20">
                  <c:v>513.23</c:v>
                </c:pt>
                <c:pt idx="21">
                  <c:v>512.5</c:v>
                </c:pt>
                <c:pt idx="22">
                  <c:v>513.44000000000005</c:v>
                </c:pt>
                <c:pt idx="23">
                  <c:v>513.44000000000005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NOS!$C$6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18"/>
              <c:layout>
                <c:manualLayout>
                  <c:x val="0"/>
                  <c:y val="-4.586111111111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9A-479D-B97A-94AA2487EB84}"/>
                </c:ext>
              </c:extLst>
            </c:dLbl>
            <c:dLbl>
              <c:idx val="20"/>
              <c:layout>
                <c:manualLayout>
                  <c:x val="-3.7134502923976609E-3"/>
                  <c:y val="-4.586111111111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9A-479D-B97A-94AA2487EB84}"/>
                </c:ext>
              </c:extLst>
            </c:dLbl>
            <c:dLbl>
              <c:idx val="22"/>
              <c:layout>
                <c:manualLayout>
                  <c:x val="0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9A-479D-B97A-94AA2487EB84}"/>
                </c:ext>
              </c:extLst>
            </c:dLbl>
            <c:dLbl>
              <c:idx val="23"/>
              <c:layout>
                <c:manualLayout>
                  <c:x val="1.1140350877192982E-2"/>
                  <c:y val="-2.4694444444444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9A-479D-B97A-94AA2487E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NOS!$E$6:$AB$6</c:f>
              <c:numCache>
                <c:formatCode>#,##0</c:formatCode>
                <c:ptCount val="24"/>
                <c:pt idx="0">
                  <c:v>165.08291</c:v>
                </c:pt>
                <c:pt idx="1">
                  <c:v>260.48946000000001</c:v>
                </c:pt>
                <c:pt idx="2">
                  <c:v>637.85799999999995</c:v>
                </c:pt>
                <c:pt idx="3">
                  <c:v>694.07825300000002</c:v>
                </c:pt>
                <c:pt idx="4">
                  <c:v>697.60205900000005</c:v>
                </c:pt>
                <c:pt idx="5">
                  <c:v>598.75707999999997</c:v>
                </c:pt>
                <c:pt idx="6">
                  <c:v>628.45435299999997</c:v>
                </c:pt>
                <c:pt idx="7">
                  <c:v>666.48287000000005</c:v>
                </c:pt>
                <c:pt idx="8">
                  <c:v>715.65833099999998</c:v>
                </c:pt>
                <c:pt idx="9">
                  <c:v>776.55723</c:v>
                </c:pt>
                <c:pt idx="10">
                  <c:v>823.03779699999996</c:v>
                </c:pt>
                <c:pt idx="11">
                  <c:v>872.34931500000005</c:v>
                </c:pt>
                <c:pt idx="12">
                  <c:v>854.82845999999995</c:v>
                </c:pt>
                <c:pt idx="13">
                  <c:v>858.6</c:v>
                </c:pt>
                <c:pt idx="14">
                  <c:v>990.25900000000001</c:v>
                </c:pt>
                <c:pt idx="15">
                  <c:v>1383.934</c:v>
                </c:pt>
                <c:pt idx="16">
                  <c:v>1444.3050000000001</c:v>
                </c:pt>
                <c:pt idx="17">
                  <c:v>1514.9690000000001</c:v>
                </c:pt>
                <c:pt idx="18">
                  <c:v>1561.7829999999999</c:v>
                </c:pt>
                <c:pt idx="19">
                  <c:v>1576</c:v>
                </c:pt>
                <c:pt idx="20">
                  <c:v>1599</c:v>
                </c:pt>
                <c:pt idx="21">
                  <c:v>1368</c:v>
                </c:pt>
                <c:pt idx="22">
                  <c:v>1410</c:v>
                </c:pt>
                <c:pt idx="23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NOS!$C$27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NOS!$E$27:$AB$27</c:f>
              <c:numCache>
                <c:formatCode>0.0</c:formatCode>
                <c:ptCount val="24"/>
                <c:pt idx="0">
                  <c:v>13.022720583251168</c:v>
                </c:pt>
                <c:pt idx="1">
                  <c:v>3.8702070786280562</c:v>
                </c:pt>
                <c:pt idx="2">
                  <c:v>0.76427668854196396</c:v>
                </c:pt>
                <c:pt idx="3">
                  <c:v>1.13214626143891</c:v>
                </c:pt>
                <c:pt idx="4">
                  <c:v>1.7317024157464533</c:v>
                </c:pt>
                <c:pt idx="5">
                  <c:v>4.7751794584040663</c:v>
                </c:pt>
                <c:pt idx="6">
                  <c:v>4.2222945961695197</c:v>
                </c:pt>
                <c:pt idx="7">
                  <c:v>4.7199062239377119</c:v>
                </c:pt>
                <c:pt idx="8">
                  <c:v>4.3151190684944325</c:v>
                </c:pt>
                <c:pt idx="9">
                  <c:v>1.5394781572473415</c:v>
                </c:pt>
                <c:pt idx="10">
                  <c:v>1.6040742445756715</c:v>
                </c:pt>
                <c:pt idx="11">
                  <c:v>1.1906277633174962</c:v>
                </c:pt>
                <c:pt idx="12">
                  <c:v>0.86055831373785485</c:v>
                </c:pt>
                <c:pt idx="13">
                  <c:v>1.0633333333333332</c:v>
                </c:pt>
                <c:pt idx="14">
                  <c:v>2.046555497097224</c:v>
                </c:pt>
                <c:pt idx="15">
                  <c:v>1.8937265312748537</c:v>
                </c:pt>
                <c:pt idx="16">
                  <c:v>2.5866118652223737</c:v>
                </c:pt>
                <c:pt idx="17">
                  <c:v>1.9059062858711959</c:v>
                </c:pt>
                <c:pt idx="18">
                  <c:v>1.7998216461569887</c:v>
                </c:pt>
                <c:pt idx="19">
                  <c:v>1.7238651967005079</c:v>
                </c:pt>
                <c:pt idx="20">
                  <c:v>1.5406529080675422</c:v>
                </c:pt>
                <c:pt idx="21">
                  <c:v>1.0707054093567252</c:v>
                </c:pt>
                <c:pt idx="22">
                  <c:v>1.2417236879432627</c:v>
                </c:pt>
                <c:pt idx="23">
                  <c:v>1.2333798084815324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'Benfica SAD'!$C$26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'Benfica SAD'!$D$26:$S$26</c:f>
              <c:numCache>
                <c:formatCode>#,##0</c:formatCode>
                <c:ptCount val="16"/>
                <c:pt idx="0">
                  <c:v>90</c:v>
                </c:pt>
                <c:pt idx="1">
                  <c:v>36</c:v>
                </c:pt>
                <c:pt idx="2">
                  <c:v>31.5</c:v>
                </c:pt>
                <c:pt idx="3">
                  <c:v>38.25</c:v>
                </c:pt>
                <c:pt idx="4">
                  <c:v>34.729999999999997</c:v>
                </c:pt>
                <c:pt idx="5">
                  <c:v>15.87</c:v>
                </c:pt>
                <c:pt idx="6">
                  <c:v>9.43</c:v>
                </c:pt>
                <c:pt idx="7">
                  <c:v>19.32</c:v>
                </c:pt>
                <c:pt idx="8">
                  <c:v>20.93</c:v>
                </c:pt>
                <c:pt idx="9">
                  <c:v>23.92</c:v>
                </c:pt>
                <c:pt idx="10">
                  <c:v>22.54</c:v>
                </c:pt>
                <c:pt idx="11">
                  <c:v>26.45</c:v>
                </c:pt>
                <c:pt idx="12">
                  <c:v>38.869999999999997</c:v>
                </c:pt>
                <c:pt idx="13">
                  <c:v>104.88</c:v>
                </c:pt>
                <c:pt idx="14">
                  <c:v>106.03</c:v>
                </c:pt>
                <c:pt idx="15">
                  <c:v>89.93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'Benfica SAD'!$C$5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D-43C9-96FD-36A56B6022AF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6D-43C9-96FD-36A56B602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SAD'!$D$5:$S$5</c:f>
              <c:numCache>
                <c:formatCode>#,##0</c:formatCode>
                <c:ptCount val="1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NOS!$C$7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NOS!$F$7:$AB$7</c:f>
              <c:numCache>
                <c:formatCode>#,##0</c:formatCode>
                <c:ptCount val="23"/>
                <c:pt idx="0">
                  <c:v>-44.984999999999999</c:v>
                </c:pt>
                <c:pt idx="1">
                  <c:v>45.02</c:v>
                </c:pt>
                <c:pt idx="2">
                  <c:v>76.805999999999997</c:v>
                </c:pt>
                <c:pt idx="3">
                  <c:v>70.411762999999993</c:v>
                </c:pt>
                <c:pt idx="4">
                  <c:v>101.61143999999999</c:v>
                </c:pt>
                <c:pt idx="5">
                  <c:v>196.89659399999999</c:v>
                </c:pt>
                <c:pt idx="6">
                  <c:v>213.440383</c:v>
                </c:pt>
                <c:pt idx="7">
                  <c:v>188.85822200000001</c:v>
                </c:pt>
                <c:pt idx="8">
                  <c:v>215.763229</c:v>
                </c:pt>
                <c:pt idx="9">
                  <c:v>280.35688600000003</c:v>
                </c:pt>
                <c:pt idx="10">
                  <c:v>301.54535699999997</c:v>
                </c:pt>
                <c:pt idx="11">
                  <c:v>310.26860299999998</c:v>
                </c:pt>
                <c:pt idx="12">
                  <c:v>311.89300000000003</c:v>
                </c:pt>
                <c:pt idx="13">
                  <c:v>317.69799999999998</c:v>
                </c:pt>
                <c:pt idx="14">
                  <c:v>486.69499999999999</c:v>
                </c:pt>
                <c:pt idx="15">
                  <c:v>516.76499999999999</c:v>
                </c:pt>
                <c:pt idx="16">
                  <c:v>556.70000000000005</c:v>
                </c:pt>
                <c:pt idx="17">
                  <c:v>580.6</c:v>
                </c:pt>
                <c:pt idx="18">
                  <c:v>591.79999999999995</c:v>
                </c:pt>
                <c:pt idx="19">
                  <c:v>641.1</c:v>
                </c:pt>
                <c:pt idx="20">
                  <c:v>603.20000000000005</c:v>
                </c:pt>
                <c:pt idx="21">
                  <c:v>613.91999999999996</c:v>
                </c:pt>
                <c:pt idx="22">
                  <c:v>637.52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NOS!$C$28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NOS!$F$28:$AB$28</c:f>
              <c:numCache>
                <c:formatCode>0.0</c:formatCode>
                <c:ptCount val="23"/>
                <c:pt idx="0">
                  <c:v>-22.410762520840279</c:v>
                </c:pt>
                <c:pt idx="1">
                  <c:v>10.82852065748556</c:v>
                </c:pt>
                <c:pt idx="2">
                  <c:v>10.230946791656899</c:v>
                </c:pt>
                <c:pt idx="3">
                  <c:v>17.156780619170124</c:v>
                </c:pt>
                <c:pt idx="4">
                  <c:v>28.138293375135717</c:v>
                </c:pt>
                <c:pt idx="5">
                  <c:v>13.476715694793134</c:v>
                </c:pt>
                <c:pt idx="6">
                  <c:v>14.738244947118885</c:v>
                </c:pt>
                <c:pt idx="7">
                  <c:v>16.351688996759695</c:v>
                </c:pt>
                <c:pt idx="8">
                  <c:v>5.5407628954120813</c:v>
                </c:pt>
                <c:pt idx="9">
                  <c:v>4.70904692699433</c:v>
                </c:pt>
                <c:pt idx="10">
                  <c:v>3.4444016120268111</c:v>
                </c:pt>
                <c:pt idx="11">
                  <c:v>2.370944823162553</c:v>
                </c:pt>
                <c:pt idx="12">
                  <c:v>2.9272154232380974</c:v>
                </c:pt>
                <c:pt idx="13">
                  <c:v>6.3790769850612854</c:v>
                </c:pt>
                <c:pt idx="14">
                  <c:v>5.3848766338946019</c:v>
                </c:pt>
                <c:pt idx="15">
                  <c:v>7.2293140015287429</c:v>
                </c:pt>
                <c:pt idx="16">
                  <c:v>5.1866156637327094</c:v>
                </c:pt>
                <c:pt idx="17">
                  <c:v>4.841424130210128</c:v>
                </c:pt>
                <c:pt idx="18">
                  <c:v>4.5907596316323094</c:v>
                </c:pt>
                <c:pt idx="19">
                  <c:v>3.842620496022461</c:v>
                </c:pt>
                <c:pt idx="20">
                  <c:v>2.4282576259946951</c:v>
                </c:pt>
                <c:pt idx="21">
                  <c:v>2.8518868908001047</c:v>
                </c:pt>
                <c:pt idx="22">
                  <c:v>2.8284622913790942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NOS!$C$32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9F-4714-8E2D-9D3C88B374D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F-4714-8E2D-9D3C88B37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NOS!$E$32:$AB$32</c:f>
              <c:numCache>
                <c:formatCode>0.0%</c:formatCode>
                <c:ptCount val="24"/>
                <c:pt idx="0">
                  <c:v>0.13932393122946524</c:v>
                </c:pt>
                <c:pt idx="1">
                  <c:v>-0.1726941274322577</c:v>
                </c:pt>
                <c:pt idx="2">
                  <c:v>7.0579972344941982E-2</c:v>
                </c:pt>
                <c:pt idx="3">
                  <c:v>0.11065899222173151</c:v>
                </c:pt>
                <c:pt idx="4">
                  <c:v>0.10093399537973552</c:v>
                </c:pt>
                <c:pt idx="5">
                  <c:v>0.16970394738380379</c:v>
                </c:pt>
                <c:pt idx="6">
                  <c:v>0.31330293610043625</c:v>
                </c:pt>
                <c:pt idx="7">
                  <c:v>0.32024886551097703</c:v>
                </c:pt>
                <c:pt idx="8">
                  <c:v>0.26389439460043124</c:v>
                </c:pt>
                <c:pt idx="9">
                  <c:v>0.27784588265310467</c:v>
                </c:pt>
                <c:pt idx="10">
                  <c:v>0.34063670832847553</c:v>
                </c:pt>
                <c:pt idx="11">
                  <c:v>0.3456704233211898</c:v>
                </c:pt>
                <c:pt idx="12">
                  <c:v>0.36296007622394788</c:v>
                </c:pt>
                <c:pt idx="13">
                  <c:v>0.36325762869788031</c:v>
                </c:pt>
                <c:pt idx="14">
                  <c:v>0.32082313818910002</c:v>
                </c:pt>
                <c:pt idx="15">
                  <c:v>0.35167500762319592</c:v>
                </c:pt>
                <c:pt idx="16">
                  <c:v>0.35779492558704701</c:v>
                </c:pt>
                <c:pt idx="17">
                  <c:v>0.36746626498628027</c:v>
                </c:pt>
                <c:pt idx="18">
                  <c:v>0.37175459074660183</c:v>
                </c:pt>
                <c:pt idx="19">
                  <c:v>0.37550761421319795</c:v>
                </c:pt>
                <c:pt idx="20">
                  <c:v>0.40093808630393996</c:v>
                </c:pt>
                <c:pt idx="21">
                  <c:v>0.4409356725146199</c:v>
                </c:pt>
                <c:pt idx="22">
                  <c:v>0.43540425531914889</c:v>
                </c:pt>
                <c:pt idx="23">
                  <c:v>0.43606019151846787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NOS!$C$33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7872660818713446E-2"/>
                  <c:y val="1.058333333333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F-4714-8E2D-9D3C88B37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NOS!$E$33:$AB$33</c:f>
              <c:numCache>
                <c:formatCode>0.0%</c:formatCode>
                <c:ptCount val="24"/>
                <c:pt idx="0">
                  <c:v>-5.4315434589807025E-2</c:v>
                </c:pt>
                <c:pt idx="1">
                  <c:v>-0.35897880474703275</c:v>
                </c:pt>
                <c:pt idx="2">
                  <c:v>-3.7088192042743058E-2</c:v>
                </c:pt>
                <c:pt idx="3">
                  <c:v>-6.4603666526344833E-3</c:v>
                </c:pt>
                <c:pt idx="4">
                  <c:v>8.4763720572676796E-2</c:v>
                </c:pt>
                <c:pt idx="5">
                  <c:v>8.3825754511328704E-2</c:v>
                </c:pt>
                <c:pt idx="6">
                  <c:v>0.21477611278475781</c:v>
                </c:pt>
                <c:pt idx="7">
                  <c:v>0.1664532368251265</c:v>
                </c:pt>
                <c:pt idx="8">
                  <c:v>0.10272696594934211</c:v>
                </c:pt>
                <c:pt idx="9">
                  <c:v>9.8757474706661352E-2</c:v>
                </c:pt>
                <c:pt idx="10">
                  <c:v>0.12144569467445734</c:v>
                </c:pt>
                <c:pt idx="11">
                  <c:v>9.4286517551744733E-2</c:v>
                </c:pt>
                <c:pt idx="12">
                  <c:v>0.10840842032798019</c:v>
                </c:pt>
                <c:pt idx="13">
                  <c:v>0.11333915676682972</c:v>
                </c:pt>
                <c:pt idx="14">
                  <c:v>7.5362102237899381E-2</c:v>
                </c:pt>
                <c:pt idx="15">
                  <c:v>0.10650869188848602</c:v>
                </c:pt>
                <c:pt idx="16">
                  <c:v>0.10410474241936434</c:v>
                </c:pt>
                <c:pt idx="17">
                  <c:v>9.425935448184089E-2</c:v>
                </c:pt>
                <c:pt idx="18">
                  <c:v>9.1433957214286501E-2</c:v>
                </c:pt>
                <c:pt idx="19">
                  <c:v>0.12741116751269035</c:v>
                </c:pt>
                <c:pt idx="20">
                  <c:v>0.12620387742338962</c:v>
                </c:pt>
                <c:pt idx="21">
                  <c:v>0.10037280701754386</c:v>
                </c:pt>
                <c:pt idx="22">
                  <c:v>0.13163829787234044</c:v>
                </c:pt>
                <c:pt idx="23">
                  <c:v>0.13830369357045144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NOS!$C$35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F-4714-8E2D-9D3C88B374D1}"/>
                </c:ext>
              </c:extLst>
            </c:dLbl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F-4714-8E2D-9D3C88B37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NOS!$E$35:$AB$35</c:f>
              <c:numCache>
                <c:formatCode>0.0%</c:formatCode>
                <c:ptCount val="24"/>
                <c:pt idx="0">
                  <c:v>-9.5295872843530555E-2</c:v>
                </c:pt>
                <c:pt idx="1">
                  <c:v>-1.0213755673646066</c:v>
                </c:pt>
                <c:pt idx="2">
                  <c:v>-0.14294502694957187</c:v>
                </c:pt>
                <c:pt idx="3">
                  <c:v>-0.19371505074370915</c:v>
                </c:pt>
                <c:pt idx="4">
                  <c:v>4.4031157310560627E-2</c:v>
                </c:pt>
                <c:pt idx="5">
                  <c:v>0.20900948678552578</c:v>
                </c:pt>
                <c:pt idx="6">
                  <c:v>0.15751565332860382</c:v>
                </c:pt>
                <c:pt idx="7">
                  <c:v>0.11122729831000758</c:v>
                </c:pt>
                <c:pt idx="8">
                  <c:v>7.2295188582105666E-2</c:v>
                </c:pt>
                <c:pt idx="9">
                  <c:v>6.6392588991799104E-2</c:v>
                </c:pt>
                <c:pt idx="10">
                  <c:v>5.5465914404414646E-2</c:v>
                </c:pt>
                <c:pt idx="11">
                  <c:v>4.2146115515663579E-2</c:v>
                </c:pt>
                <c:pt idx="12">
                  <c:v>4.0767189711956947E-2</c:v>
                </c:pt>
                <c:pt idx="13">
                  <c:v>4.296296296296296E-2</c:v>
                </c:pt>
                <c:pt idx="14">
                  <c:v>1.1369752761651244E-2</c:v>
                </c:pt>
                <c:pt idx="15">
                  <c:v>5.4251142034229954E-2</c:v>
                </c:pt>
                <c:pt idx="16">
                  <c:v>5.7115359982829114E-2</c:v>
                </c:pt>
                <c:pt idx="17">
                  <c:v>5.9404515867981449E-2</c:v>
                </c:pt>
                <c:pt idx="18">
                  <c:v>7.9460462817177543E-2</c:v>
                </c:pt>
                <c:pt idx="19">
                  <c:v>8.9720812182741125E-2</c:v>
                </c:pt>
                <c:pt idx="20">
                  <c:v>8.9743589743589744E-2</c:v>
                </c:pt>
                <c:pt idx="21">
                  <c:v>6.725146198830409E-2</c:v>
                </c:pt>
                <c:pt idx="22">
                  <c:v>8.9815602836879435E-2</c:v>
                </c:pt>
                <c:pt idx="23">
                  <c:v>9.2633378932968538E-2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NOS!$C$12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NOS!$E$12:$AB$12</c:f>
              <c:numCache>
                <c:formatCode>#,##0</c:formatCode>
                <c:ptCount val="24"/>
                <c:pt idx="0">
                  <c:v>-15.731719999999999</c:v>
                </c:pt>
                <c:pt idx="1">
                  <c:v>-266.05757</c:v>
                </c:pt>
                <c:pt idx="2">
                  <c:v>-91.178629000000001</c:v>
                </c:pt>
                <c:pt idx="3">
                  <c:v>-134.45340400000001</c:v>
                </c:pt>
                <c:pt idx="4">
                  <c:v>30.716225999999999</c:v>
                </c:pt>
                <c:pt idx="5">
                  <c:v>125.14591</c:v>
                </c:pt>
                <c:pt idx="6">
                  <c:v>98.991398000000004</c:v>
                </c:pt>
                <c:pt idx="7">
                  <c:v>74.131089000000003</c:v>
                </c:pt>
                <c:pt idx="8">
                  <c:v>51.738653999999997</c:v>
                </c:pt>
                <c:pt idx="9">
                  <c:v>51.557645000000001</c:v>
                </c:pt>
                <c:pt idx="10">
                  <c:v>45.650543999999996</c:v>
                </c:pt>
                <c:pt idx="11">
                  <c:v>36.766134999999998</c:v>
                </c:pt>
                <c:pt idx="12">
                  <c:v>34.848953999999999</c:v>
                </c:pt>
                <c:pt idx="13">
                  <c:v>36.887999999999998</c:v>
                </c:pt>
                <c:pt idx="14">
                  <c:v>11.259</c:v>
                </c:pt>
                <c:pt idx="15">
                  <c:v>75.08</c:v>
                </c:pt>
                <c:pt idx="16">
                  <c:v>82.492000000000004</c:v>
                </c:pt>
                <c:pt idx="17">
                  <c:v>89.995999999999995</c:v>
                </c:pt>
                <c:pt idx="18">
                  <c:v>124.1</c:v>
                </c:pt>
                <c:pt idx="19">
                  <c:v>141.4</c:v>
                </c:pt>
                <c:pt idx="20">
                  <c:v>143.5</c:v>
                </c:pt>
                <c:pt idx="21">
                  <c:v>92</c:v>
                </c:pt>
                <c:pt idx="22">
                  <c:v>126.64</c:v>
                </c:pt>
                <c:pt idx="23">
                  <c:v>135.43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NOS!$C$36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30-48A0-A492-1429A6E411B8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NOS!$E$36:$AB$36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39.329023389787537</c:v>
                </c:pt>
                <c:pt idx="5">
                  <c:v>22.846711562447386</c:v>
                </c:pt>
                <c:pt idx="6">
                  <c:v>26.805555555555561</c:v>
                </c:pt>
                <c:pt idx="7">
                  <c:v>42.434782608695649</c:v>
                </c:pt>
                <c:pt idx="8">
                  <c:v>59.687500000000007</c:v>
                </c:pt>
                <c:pt idx="9">
                  <c:v>23.1875</c:v>
                </c:pt>
                <c:pt idx="10">
                  <c:v>28.919999999999998</c:v>
                </c:pt>
                <c:pt idx="11">
                  <c:v>28.250000000000004</c:v>
                </c:pt>
                <c:pt idx="12">
                  <c:v>21.109090909090909</c:v>
                </c:pt>
                <c:pt idx="13">
                  <c:v>24.75</c:v>
                </c:pt>
                <c:pt idx="14">
                  <c:v>180</c:v>
                </c:pt>
                <c:pt idx="15">
                  <c:v>34.906666666666666</c:v>
                </c:pt>
                <c:pt idx="16">
                  <c:v>45.287500000000009</c:v>
                </c:pt>
                <c:pt idx="17">
                  <c:v>32.083525267789682</c:v>
                </c:pt>
                <c:pt idx="18">
                  <c:v>22.650530620467368</c:v>
                </c:pt>
                <c:pt idx="19">
                  <c:v>19.213660183875533</c:v>
                </c:pt>
                <c:pt idx="20">
                  <c:v>17.16727526132404</c:v>
                </c:pt>
                <c:pt idx="21">
                  <c:v>15.920923913043479</c:v>
                </c:pt>
                <c:pt idx="22">
                  <c:v>13.825255843335441</c:v>
                </c:pt>
                <c:pt idx="23">
                  <c:v>13.314636934209556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NOS!$C$38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A-4188-AB91-864920764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NOS!$E$38:$AB$38</c:f>
              <c:numCache>
                <c:formatCode>0%</c:formatCode>
                <c:ptCount val="24"/>
                <c:pt idx="0">
                  <c:v>-6.242867025480698E-2</c:v>
                </c:pt>
                <c:pt idx="1">
                  <c:v>-0.26535242622020433</c:v>
                </c:pt>
                <c:pt idx="2">
                  <c:v>-2.921042818583448E-2</c:v>
                </c:pt>
                <c:pt idx="3">
                  <c:v>-1.2437693645514636E-2</c:v>
                </c:pt>
                <c:pt idx="4">
                  <c:v>0.15103355646839253</c:v>
                </c:pt>
                <c:pt idx="5">
                  <c:v>9.8547659083660102E-2</c:v>
                </c:pt>
                <c:pt idx="6">
                  <c:v>0.30769247234900299</c:v>
                </c:pt>
                <c:pt idx="7">
                  <c:v>0.26160677007047828</c:v>
                </c:pt>
                <c:pt idx="8">
                  <c:v>0.18899312643609922</c:v>
                </c:pt>
                <c:pt idx="9">
                  <c:v>0.39995646472293128</c:v>
                </c:pt>
                <c:pt idx="10">
                  <c:v>0.52708854102598934</c:v>
                </c:pt>
                <c:pt idx="11">
                  <c:v>0.3287618626548991</c:v>
                </c:pt>
                <c:pt idx="12">
                  <c:v>0.39431950011488676</c:v>
                </c:pt>
                <c:pt idx="13">
                  <c:v>0.44387731829916893</c:v>
                </c:pt>
                <c:pt idx="14">
                  <c:v>7.0389629253744299E-2</c:v>
                </c:pt>
                <c:pt idx="15">
                  <c:v>0.13904062618794508</c:v>
                </c:pt>
                <c:pt idx="16">
                  <c:v>0.14264206432027324</c:v>
                </c:pt>
                <c:pt idx="17">
                  <c:v>0.13676850876352842</c:v>
                </c:pt>
                <c:pt idx="18">
                  <c:v>0.12990084599290458</c:v>
                </c:pt>
                <c:pt idx="19">
                  <c:v>0.19191436490490302</c:v>
                </c:pt>
                <c:pt idx="20">
                  <c:v>0.20073609867701186</c:v>
                </c:pt>
                <c:pt idx="21">
                  <c:v>0.1446129541864139</c:v>
                </c:pt>
                <c:pt idx="22">
                  <c:v>0.19938768933290366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NOS!$C$39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6-4E0C-83E2-42E48C5D2089}"/>
                </c:ext>
              </c:extLst>
            </c:dLbl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A-4188-AB91-864920764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NOS!$E$39:$AB$39</c:f>
              <c:numCache>
                <c:formatCode>0%</c:formatCode>
                <c:ptCount val="24"/>
                <c:pt idx="0">
                  <c:v>-0.10953046159570315</c:v>
                </c:pt>
                <c:pt idx="1">
                  <c:v>-0.75498742905788885</c:v>
                </c:pt>
                <c:pt idx="2">
                  <c:v>-0.11258260956534409</c:v>
                </c:pt>
                <c:pt idx="3">
                  <c:v>-0.37294608576017224</c:v>
                </c:pt>
                <c:pt idx="4">
                  <c:v>7.8455526009282905E-2</c:v>
                </c:pt>
                <c:pt idx="5">
                  <c:v>0.24571679395032589</c:v>
                </c:pt>
                <c:pt idx="6">
                  <c:v>0.22566001487753029</c:v>
                </c:pt>
                <c:pt idx="7">
                  <c:v>0.17481074450427428</c:v>
                </c:pt>
                <c:pt idx="8">
                  <c:v>0.1330059112536949</c:v>
                </c:pt>
                <c:pt idx="9">
                  <c:v>0.26888238339261072</c:v>
                </c:pt>
                <c:pt idx="10">
                  <c:v>0.24072856578788354</c:v>
                </c:pt>
                <c:pt idx="11">
                  <c:v>0.14695669964683836</c:v>
                </c:pt>
                <c:pt idx="12">
                  <c:v>0.14828458730118205</c:v>
                </c:pt>
                <c:pt idx="13">
                  <c:v>0.16825857303155531</c:v>
                </c:pt>
                <c:pt idx="14">
                  <c:v>1.061956418191439E-2</c:v>
                </c:pt>
                <c:pt idx="15">
                  <c:v>7.0821569827822839E-2</c:v>
                </c:pt>
                <c:pt idx="16">
                  <c:v>7.8258229769471596E-2</c:v>
                </c:pt>
                <c:pt idx="17">
                  <c:v>8.6194808926348052E-2</c:v>
                </c:pt>
                <c:pt idx="18">
                  <c:v>0.11289002092240516</c:v>
                </c:pt>
                <c:pt idx="19">
                  <c:v>0.13514288444996655</c:v>
                </c:pt>
                <c:pt idx="20">
                  <c:v>0.14274345966378196</c:v>
                </c:pt>
                <c:pt idx="21">
                  <c:v>9.6893101632438125E-2</c:v>
                </c:pt>
                <c:pt idx="22">
                  <c:v>0.13604039101944354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NOS!$C$37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NOS!$E$37:$AB$37</c:f>
              <c:numCache>
                <c:formatCode>0.0</c:formatCode>
                <c:ptCount val="24"/>
                <c:pt idx="0">
                  <c:v>14.967957731573463</c:v>
                </c:pt>
                <c:pt idx="1">
                  <c:v>2.8608063337116914</c:v>
                </c:pt>
                <c:pt idx="2">
                  <c:v>0.60193954180979459</c:v>
                </c:pt>
                <c:pt idx="3">
                  <c:v>2.1796422894898155</c:v>
                </c:pt>
                <c:pt idx="4">
                  <c:v>3.0855792174771719</c:v>
                </c:pt>
                <c:pt idx="5">
                  <c:v>5.6138207174324126</c:v>
                </c:pt>
                <c:pt idx="6">
                  <c:v>6.0489420654671324</c:v>
                </c:pt>
                <c:pt idx="7">
                  <c:v>7.418055940703117</c:v>
                </c:pt>
                <c:pt idx="8">
                  <c:v>7.9387903279549148</c:v>
                </c:pt>
                <c:pt idx="9">
                  <c:v>6.2347102649161608</c:v>
                </c:pt>
                <c:pt idx="10">
                  <c:v>6.9618701225855926</c:v>
                </c:pt>
                <c:pt idx="11">
                  <c:v>4.151526765023184</c:v>
                </c:pt>
                <c:pt idx="12">
                  <c:v>3.1301528337576792</c:v>
                </c:pt>
                <c:pt idx="13">
                  <c:v>4.1643996825309939</c:v>
                </c:pt>
                <c:pt idx="14">
                  <c:v>1.9115215527445901</c:v>
                </c:pt>
                <c:pt idx="15">
                  <c:v>2.4721449307898693</c:v>
                </c:pt>
                <c:pt idx="16">
                  <c:v>3.5441195806849453</c:v>
                </c:pt>
                <c:pt idx="17">
                  <c:v>2.7654333301407914</c:v>
                </c:pt>
                <c:pt idx="18">
                  <c:v>2.55701887564814</c:v>
                </c:pt>
                <c:pt idx="19">
                  <c:v>2.5965894580904143</c:v>
                </c:pt>
                <c:pt idx="20">
                  <c:v>2.4505162638018501</c:v>
                </c:pt>
                <c:pt idx="21">
                  <c:v>1.5426276987888363</c:v>
                </c:pt>
                <c:pt idx="22">
                  <c:v>1.8807932108712002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NOS!$C$41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NOS!$E$41:$AB$41</c:f>
              <c:numCache>
                <c:formatCode>0.0</c:formatCode>
                <c:ptCount val="24"/>
                <c:pt idx="0">
                  <c:v>0.94531693223569246</c:v>
                </c:pt>
                <c:pt idx="1">
                  <c:v>1.8078676645626306</c:v>
                </c:pt>
                <c:pt idx="2">
                  <c:v>0.74601332670450238</c:v>
                </c:pt>
                <c:pt idx="3">
                  <c:v>0.88831074045130809</c:v>
                </c:pt>
                <c:pt idx="4">
                  <c:v>0.83320254295086427</c:v>
                </c:pt>
                <c:pt idx="5">
                  <c:v>0.89394662016817161</c:v>
                </c:pt>
                <c:pt idx="6">
                  <c:v>0.81184467593201548</c:v>
                </c:pt>
                <c:pt idx="7">
                  <c:v>0.73179335487350528</c:v>
                </c:pt>
                <c:pt idx="8">
                  <c:v>0.61370528039449523</c:v>
                </c:pt>
                <c:pt idx="9">
                  <c:v>0.49483077564959349</c:v>
                </c:pt>
                <c:pt idx="10">
                  <c:v>0.801392458716777</c:v>
                </c:pt>
                <c:pt idx="11">
                  <c:v>1.3327446256190929</c:v>
                </c:pt>
                <c:pt idx="12">
                  <c:v>0.89845336131578335</c:v>
                </c:pt>
                <c:pt idx="13">
                  <c:v>0.83197143856591405</c:v>
                </c:pt>
                <c:pt idx="14">
                  <c:v>0.59672565164229086</c:v>
                </c:pt>
                <c:pt idx="15">
                  <c:v>0.42466106462912212</c:v>
                </c:pt>
                <c:pt idx="16">
                  <c:v>0.61183974894683879</c:v>
                </c:pt>
                <c:pt idx="17">
                  <c:v>0.69611761628816304</c:v>
                </c:pt>
                <c:pt idx="18">
                  <c:v>0.73729683501522547</c:v>
                </c:pt>
                <c:pt idx="19">
                  <c:v>0.63032104637336506</c:v>
                </c:pt>
                <c:pt idx="20">
                  <c:v>0.74585858585858578</c:v>
                </c:pt>
                <c:pt idx="21">
                  <c:v>0.84435904474334345</c:v>
                </c:pt>
                <c:pt idx="22">
                  <c:v>0.65040752351097186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NOS!$C$45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NOS!$E$3:$AB$3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NOS!$E$45:$AB$45</c:f>
              <c:numCache>
                <c:formatCode>0.0</c:formatCode>
                <c:ptCount val="24"/>
                <c:pt idx="0">
                  <c:v>0.85944886231667328</c:v>
                </c:pt>
                <c:pt idx="1">
                  <c:v>1.6776364926220206</c:v>
                </c:pt>
                <c:pt idx="2">
                  <c:v>1.4428676263949565</c:v>
                </c:pt>
                <c:pt idx="3">
                  <c:v>1.3653912353647679</c:v>
                </c:pt>
                <c:pt idx="4">
                  <c:v>1.2754137119915103</c:v>
                </c:pt>
                <c:pt idx="5">
                  <c:v>1.1970587176363399</c:v>
                </c:pt>
                <c:pt idx="6">
                  <c:v>1.2814178748657092</c:v>
                </c:pt>
                <c:pt idx="7">
                  <c:v>1.299595430728856</c:v>
                </c:pt>
                <c:pt idx="8">
                  <c:v>1.5708965978436744</c:v>
                </c:pt>
                <c:pt idx="9">
                  <c:v>5.9001791137821149</c:v>
                </c:pt>
                <c:pt idx="10">
                  <c:v>6.8001626989315103</c:v>
                </c:pt>
                <c:pt idx="11">
                  <c:v>5.5980073998178357</c:v>
                </c:pt>
                <c:pt idx="12">
                  <c:v>6.5978920404741839</c:v>
                </c:pt>
                <c:pt idx="13">
                  <c:v>6.3480983789010832</c:v>
                </c:pt>
                <c:pt idx="14">
                  <c:v>1.7252354008109692</c:v>
                </c:pt>
                <c:pt idx="15">
                  <c:v>1.7882738798768829</c:v>
                </c:pt>
                <c:pt idx="16">
                  <c:v>1.8237358884356325</c:v>
                </c:pt>
                <c:pt idx="17">
                  <c:v>1.856718705104875</c:v>
                </c:pt>
                <c:pt idx="18">
                  <c:v>1.7346493222960067</c:v>
                </c:pt>
                <c:pt idx="19">
                  <c:v>1.9234445187804645</c:v>
                </c:pt>
                <c:pt idx="20">
                  <c:v>2.0719188301999405</c:v>
                </c:pt>
                <c:pt idx="21">
                  <c:v>2.3413375460768826</c:v>
                </c:pt>
                <c:pt idx="22">
                  <c:v>2.3331184874852293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Novabase!$C$26</c:f>
              <c:strCache>
                <c:ptCount val="1"/>
                <c:pt idx="0">
                  <c:v>Valor de Mercado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Novabase!$D$26:$Z$26</c:f>
              <c:numCache>
                <c:formatCode>#,##0</c:formatCode>
                <c:ptCount val="23"/>
                <c:pt idx="0">
                  <c:v>88.969462300000004</c:v>
                </c:pt>
                <c:pt idx="1">
                  <c:v>158.27300645</c:v>
                </c:pt>
                <c:pt idx="2">
                  <c:v>154.84288000000001</c:v>
                </c:pt>
                <c:pt idx="3">
                  <c:v>157.6777428</c:v>
                </c:pt>
                <c:pt idx="4">
                  <c:v>167.55807999999999</c:v>
                </c:pt>
                <c:pt idx="5">
                  <c:v>169.53</c:v>
                </c:pt>
                <c:pt idx="6">
                  <c:v>148.97999999999999</c:v>
                </c:pt>
                <c:pt idx="7">
                  <c:v>93.963809999999995</c:v>
                </c:pt>
                <c:pt idx="8">
                  <c:v>132.08703199999999</c:v>
                </c:pt>
                <c:pt idx="9">
                  <c:v>128.1</c:v>
                </c:pt>
                <c:pt idx="10">
                  <c:v>126</c:v>
                </c:pt>
                <c:pt idx="11">
                  <c:v>88.348500000000001</c:v>
                </c:pt>
                <c:pt idx="12">
                  <c:v>61.560949999999991</c:v>
                </c:pt>
                <c:pt idx="13">
                  <c:v>69.936099999999996</c:v>
                </c:pt>
                <c:pt idx="14">
                  <c:v>81.672120000000007</c:v>
                </c:pt>
                <c:pt idx="15">
                  <c:v>68.899680000000004</c:v>
                </c:pt>
                <c:pt idx="16">
                  <c:v>62.184374999999996</c:v>
                </c:pt>
                <c:pt idx="17">
                  <c:v>73.200243600000007</c:v>
                </c:pt>
                <c:pt idx="18">
                  <c:v>92.339675100000008</c:v>
                </c:pt>
                <c:pt idx="19">
                  <c:v>59.629632925999999</c:v>
                </c:pt>
                <c:pt idx="20">
                  <c:v>81.012</c:v>
                </c:pt>
                <c:pt idx="21">
                  <c:v>100.794</c:v>
                </c:pt>
                <c:pt idx="22">
                  <c:v>158.25919999999999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Novabase!$C$5</c:f>
              <c:strCache>
                <c:ptCount val="1"/>
                <c:pt idx="0">
                  <c:v>Nº de Ações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B-4275-8B63-D4A9EE009AB8}"/>
                </c:ext>
              </c:extLst>
            </c:dLbl>
            <c:dLbl>
              <c:idx val="2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1B-4275-8B63-D4A9EE009A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Novabase!$D$5:$Z$5</c:f>
              <c:numCache>
                <c:formatCode>#,##0</c:formatCode>
                <c:ptCount val="23"/>
                <c:pt idx="0">
                  <c:v>9.0508100000000002</c:v>
                </c:pt>
                <c:pt idx="1">
                  <c:v>19.958765</c:v>
                </c:pt>
                <c:pt idx="2">
                  <c:v>28.256</c:v>
                </c:pt>
                <c:pt idx="3">
                  <c:v>28.257660000000001</c:v>
                </c:pt>
                <c:pt idx="4">
                  <c:v>28.256</c:v>
                </c:pt>
                <c:pt idx="5">
                  <c:v>28.254999999999999</c:v>
                </c:pt>
                <c:pt idx="6">
                  <c:v>28.65</c:v>
                </c:pt>
                <c:pt idx="7">
                  <c:v>30.408999999999999</c:v>
                </c:pt>
                <c:pt idx="8">
                  <c:v>30.434799999999999</c:v>
                </c:pt>
                <c:pt idx="9">
                  <c:v>30.5</c:v>
                </c:pt>
                <c:pt idx="10">
                  <c:v>30</c:v>
                </c:pt>
                <c:pt idx="11">
                  <c:v>30.465</c:v>
                </c:pt>
                <c:pt idx="12">
                  <c:v>29.454999999999998</c:v>
                </c:pt>
                <c:pt idx="13">
                  <c:v>30.407</c:v>
                </c:pt>
                <c:pt idx="14">
                  <c:v>31.292000000000002</c:v>
                </c:pt>
                <c:pt idx="15">
                  <c:v>31.12</c:v>
                </c:pt>
                <c:pt idx="16">
                  <c:v>30.9375</c:v>
                </c:pt>
                <c:pt idx="17">
                  <c:v>30.893999999999998</c:v>
                </c:pt>
                <c:pt idx="18">
                  <c:v>31.827000000000002</c:v>
                </c:pt>
                <c:pt idx="19">
                  <c:v>31.024782999999999</c:v>
                </c:pt>
                <c:pt idx="20">
                  <c:v>31.4</c:v>
                </c:pt>
                <c:pt idx="21">
                  <c:v>31.4</c:v>
                </c:pt>
                <c:pt idx="22">
                  <c:v>30.91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Novabase!$C$6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Novabase!$D$6:$Z$6</c:f>
              <c:numCache>
                <c:formatCode>#,##0</c:formatCode>
                <c:ptCount val="23"/>
                <c:pt idx="0">
                  <c:v>25.744</c:v>
                </c:pt>
                <c:pt idx="1">
                  <c:v>52.847000000000001</c:v>
                </c:pt>
                <c:pt idx="2">
                  <c:v>96.465999999999994</c:v>
                </c:pt>
                <c:pt idx="3">
                  <c:v>114.063</c:v>
                </c:pt>
                <c:pt idx="4">
                  <c:v>128.19999999999999</c:v>
                </c:pt>
                <c:pt idx="5">
                  <c:v>171.6</c:v>
                </c:pt>
                <c:pt idx="6">
                  <c:v>226.4</c:v>
                </c:pt>
                <c:pt idx="7">
                  <c:v>261.5</c:v>
                </c:pt>
                <c:pt idx="8">
                  <c:v>313.2</c:v>
                </c:pt>
                <c:pt idx="9">
                  <c:v>292</c:v>
                </c:pt>
                <c:pt idx="10">
                  <c:v>241.4</c:v>
                </c:pt>
                <c:pt idx="11">
                  <c:v>236.3</c:v>
                </c:pt>
                <c:pt idx="12">
                  <c:v>229.63300000000001</c:v>
                </c:pt>
                <c:pt idx="13">
                  <c:v>212.07499999999999</c:v>
                </c:pt>
                <c:pt idx="14">
                  <c:v>216.83</c:v>
                </c:pt>
                <c:pt idx="15">
                  <c:v>220.85499999999999</c:v>
                </c:pt>
                <c:pt idx="16">
                  <c:v>127.17700000000001</c:v>
                </c:pt>
                <c:pt idx="17">
                  <c:v>135.654</c:v>
                </c:pt>
                <c:pt idx="18">
                  <c:v>142.16999999999999</c:v>
                </c:pt>
                <c:pt idx="19">
                  <c:v>140.49</c:v>
                </c:pt>
                <c:pt idx="20">
                  <c:v>149.03</c:v>
                </c:pt>
                <c:pt idx="21">
                  <c:v>125.1</c:v>
                </c:pt>
                <c:pt idx="2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Novabase!$C$27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Novabase!$D$27:$Z$27</c:f>
              <c:numCache>
                <c:formatCode>0.0</c:formatCode>
                <c:ptCount val="23"/>
                <c:pt idx="0">
                  <c:v>3.455930014760721</c:v>
                </c:pt>
                <c:pt idx="1">
                  <c:v>2.9949288786496866</c:v>
                </c:pt>
                <c:pt idx="2">
                  <c:v>1.6051549768830471</c:v>
                </c:pt>
                <c:pt idx="3">
                  <c:v>1.3823741511270087</c:v>
                </c:pt>
                <c:pt idx="4">
                  <c:v>1.3070053042121685</c:v>
                </c:pt>
                <c:pt idx="5">
                  <c:v>0.98793706293706296</c:v>
                </c:pt>
                <c:pt idx="6">
                  <c:v>0.65803886925795052</c:v>
                </c:pt>
                <c:pt idx="7">
                  <c:v>0.35932623326959845</c:v>
                </c:pt>
                <c:pt idx="8">
                  <c:v>0.42173381864623244</c:v>
                </c:pt>
                <c:pt idx="9">
                  <c:v>0.43869863013698629</c:v>
                </c:pt>
                <c:pt idx="10">
                  <c:v>0.52195526097763045</c:v>
                </c:pt>
                <c:pt idx="11">
                  <c:v>0.37388277613203552</c:v>
                </c:pt>
                <c:pt idx="12">
                  <c:v>0.26808407328215017</c:v>
                </c:pt>
                <c:pt idx="13">
                  <c:v>0.32977060002357655</c:v>
                </c:pt>
                <c:pt idx="14">
                  <c:v>0.37666429922058758</c:v>
                </c:pt>
                <c:pt idx="15">
                  <c:v>0.31196794276787942</c:v>
                </c:pt>
                <c:pt idx="16">
                  <c:v>0.48895928509085756</c:v>
                </c:pt>
                <c:pt idx="17">
                  <c:v>0.53960991640497158</c:v>
                </c:pt>
                <c:pt idx="18">
                  <c:v>0.64950182949989466</c:v>
                </c:pt>
                <c:pt idx="19">
                  <c:v>0.4244404080432771</c:v>
                </c:pt>
                <c:pt idx="20">
                  <c:v>0.54359524927866876</c:v>
                </c:pt>
                <c:pt idx="21">
                  <c:v>0.8057074340527578</c:v>
                </c:pt>
                <c:pt idx="22">
                  <c:v>1.1551766423357663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Novabase!$C$7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Novabase!$D$7:$Z$7</c:f>
              <c:numCache>
                <c:formatCode>#,##0</c:formatCode>
                <c:ptCount val="23"/>
                <c:pt idx="0">
                  <c:v>7.9109999999999996</c:v>
                </c:pt>
                <c:pt idx="1">
                  <c:v>8.17</c:v>
                </c:pt>
                <c:pt idx="2">
                  <c:v>16.649999999999999</c:v>
                </c:pt>
                <c:pt idx="3">
                  <c:v>18.844000000000001</c:v>
                </c:pt>
                <c:pt idx="4">
                  <c:v>8.4</c:v>
                </c:pt>
                <c:pt idx="5">
                  <c:v>17.100000000000001</c:v>
                </c:pt>
                <c:pt idx="6">
                  <c:v>17.3</c:v>
                </c:pt>
                <c:pt idx="7">
                  <c:v>16.399999999999999</c:v>
                </c:pt>
                <c:pt idx="8">
                  <c:v>20</c:v>
                </c:pt>
                <c:pt idx="9">
                  <c:v>21.1</c:v>
                </c:pt>
                <c:pt idx="10">
                  <c:v>21.7</c:v>
                </c:pt>
                <c:pt idx="11">
                  <c:v>22.2</c:v>
                </c:pt>
                <c:pt idx="12">
                  <c:v>10.747</c:v>
                </c:pt>
                <c:pt idx="13">
                  <c:v>18.059999999999999</c:v>
                </c:pt>
                <c:pt idx="14">
                  <c:v>14.86</c:v>
                </c:pt>
                <c:pt idx="15">
                  <c:v>13.137</c:v>
                </c:pt>
                <c:pt idx="16">
                  <c:v>11.997999999999999</c:v>
                </c:pt>
                <c:pt idx="17">
                  <c:v>5.9050000000000002</c:v>
                </c:pt>
                <c:pt idx="18">
                  <c:v>10.92</c:v>
                </c:pt>
                <c:pt idx="19">
                  <c:v>10.3</c:v>
                </c:pt>
                <c:pt idx="20">
                  <c:v>9.359</c:v>
                </c:pt>
                <c:pt idx="21">
                  <c:v>11.83</c:v>
                </c:pt>
                <c:pt idx="2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Novabase!$C$28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Novabase!$D$28:$Z$28</c:f>
              <c:numCache>
                <c:formatCode>0.0</c:formatCode>
                <c:ptCount val="23"/>
                <c:pt idx="0">
                  <c:v>11.246297851093415</c:v>
                </c:pt>
                <c:pt idx="1">
                  <c:v>19.372461009791923</c:v>
                </c:pt>
                <c:pt idx="2">
                  <c:v>9.2998726726726737</c:v>
                </c:pt>
                <c:pt idx="3">
                  <c:v>8.367530396943323</c:v>
                </c:pt>
                <c:pt idx="4">
                  <c:v>19.947390476190474</c:v>
                </c:pt>
                <c:pt idx="5">
                  <c:v>9.9140350877192969</c:v>
                </c:pt>
                <c:pt idx="6">
                  <c:v>8.6115606936416178</c:v>
                </c:pt>
                <c:pt idx="7">
                  <c:v>5.7295006097560979</c:v>
                </c:pt>
                <c:pt idx="8">
                  <c:v>6.6043515999999993</c:v>
                </c:pt>
                <c:pt idx="9">
                  <c:v>6.0710900473933647</c:v>
                </c:pt>
                <c:pt idx="10">
                  <c:v>5.806451612903226</c:v>
                </c:pt>
                <c:pt idx="11">
                  <c:v>3.9796621621621622</c:v>
                </c:pt>
                <c:pt idx="12">
                  <c:v>5.7281985670419644</c:v>
                </c:pt>
                <c:pt idx="13">
                  <c:v>3.8724307862679956</c:v>
                </c:pt>
                <c:pt idx="14">
                  <c:v>5.4961049798115758</c:v>
                </c:pt>
                <c:pt idx="15">
                  <c:v>5.2447042703813658</c:v>
                </c:pt>
                <c:pt idx="16">
                  <c:v>5.1828950658443071</c:v>
                </c:pt>
                <c:pt idx="17">
                  <c:v>12.396315596951737</c:v>
                </c:pt>
                <c:pt idx="18">
                  <c:v>8.4560142032967036</c:v>
                </c:pt>
                <c:pt idx="19">
                  <c:v>5.789284750097087</c:v>
                </c:pt>
                <c:pt idx="20">
                  <c:v>8.6560529971150757</c:v>
                </c:pt>
                <c:pt idx="21">
                  <c:v>8.5202028740490281</c:v>
                </c:pt>
                <c:pt idx="22">
                  <c:v>12.173784615384616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Novabase!$C$32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3B-499B-9674-FD8C7F8AC0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Novabase!$D$32:$Z$32</c:f>
              <c:numCache>
                <c:formatCode>0.0%</c:formatCode>
                <c:ptCount val="23"/>
                <c:pt idx="0">
                  <c:v>0.30729490366687384</c:v>
                </c:pt>
                <c:pt idx="1">
                  <c:v>0.15459723352318958</c:v>
                </c:pt>
                <c:pt idx="2">
                  <c:v>0.17259967242344454</c:v>
                </c:pt>
                <c:pt idx="3">
                  <c:v>0.1652069470380404</c:v>
                </c:pt>
                <c:pt idx="4">
                  <c:v>6.5522620904836196E-2</c:v>
                </c:pt>
                <c:pt idx="5">
                  <c:v>9.9650349650349662E-2</c:v>
                </c:pt>
                <c:pt idx="6">
                  <c:v>7.6413427561837458E-2</c:v>
                </c:pt>
                <c:pt idx="7">
                  <c:v>6.271510516252389E-2</c:v>
                </c:pt>
                <c:pt idx="8">
                  <c:v>6.3856960408684549E-2</c:v>
                </c:pt>
                <c:pt idx="9">
                  <c:v>7.2260273972602748E-2</c:v>
                </c:pt>
                <c:pt idx="10">
                  <c:v>8.9892294946147464E-2</c:v>
                </c:pt>
                <c:pt idx="11">
                  <c:v>9.3948370715192547E-2</c:v>
                </c:pt>
                <c:pt idx="12">
                  <c:v>4.6800764698453616E-2</c:v>
                </c:pt>
                <c:pt idx="13">
                  <c:v>8.5158552398915482E-2</c:v>
                </c:pt>
                <c:pt idx="14">
                  <c:v>6.853295208227643E-2</c:v>
                </c:pt>
                <c:pt idx="15">
                  <c:v>5.948246587127301E-2</c:v>
                </c:pt>
                <c:pt idx="16">
                  <c:v>9.4340957877603646E-2</c:v>
                </c:pt>
                <c:pt idx="17">
                  <c:v>4.3529862739027231E-2</c:v>
                </c:pt>
                <c:pt idx="18">
                  <c:v>7.6809453471196457E-2</c:v>
                </c:pt>
                <c:pt idx="19">
                  <c:v>7.3314826678055375E-2</c:v>
                </c:pt>
                <c:pt idx="20">
                  <c:v>6.2799436355096286E-2</c:v>
                </c:pt>
                <c:pt idx="21">
                  <c:v>9.4564348521183061E-2</c:v>
                </c:pt>
                <c:pt idx="22">
                  <c:v>9.4890510948905105E-2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Novabase!$C$33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19"/>
              <c:layout>
                <c:manualLayout>
                  <c:x val="-7.3765877270133978E-3"/>
                  <c:y val="1.0368348507134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3B-499B-9674-FD8C7F8AC0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Novabase!$D$33:$Z$33</c:f>
              <c:numCache>
                <c:formatCode>0.0%</c:formatCode>
                <c:ptCount val="23"/>
                <c:pt idx="0">
                  <c:v>0.14321783716594158</c:v>
                </c:pt>
                <c:pt idx="1">
                  <c:v>0.11347853236702178</c:v>
                </c:pt>
                <c:pt idx="2">
                  <c:v>0.12093380051002427</c:v>
                </c:pt>
                <c:pt idx="3">
                  <c:v>0.10875568764630072</c:v>
                </c:pt>
                <c:pt idx="4">
                  <c:v>2.0000000000000004E-2</c:v>
                </c:pt>
                <c:pt idx="5">
                  <c:v>6.9090909090909092E-2</c:v>
                </c:pt>
                <c:pt idx="6">
                  <c:v>2.6806537102473497E-2</c:v>
                </c:pt>
                <c:pt idx="7">
                  <c:v>3.2906309751434035E-2</c:v>
                </c:pt>
                <c:pt idx="8">
                  <c:v>5.4102809706257984E-2</c:v>
                </c:pt>
                <c:pt idx="9">
                  <c:v>5.222260273972603E-2</c:v>
                </c:pt>
                <c:pt idx="10">
                  <c:v>6.885666942833471E-2</c:v>
                </c:pt>
                <c:pt idx="11">
                  <c:v>7.0630554380025398E-2</c:v>
                </c:pt>
                <c:pt idx="12">
                  <c:v>2.0127769092421383E-2</c:v>
                </c:pt>
                <c:pt idx="13">
                  <c:v>5.8012495579394092E-2</c:v>
                </c:pt>
                <c:pt idx="14">
                  <c:v>4.2102107641931466E-2</c:v>
                </c:pt>
                <c:pt idx="15">
                  <c:v>3.2691132190803919E-2</c:v>
                </c:pt>
                <c:pt idx="16">
                  <c:v>6.2660701227423191E-2</c:v>
                </c:pt>
                <c:pt idx="17">
                  <c:v>1.5627994751352708E-2</c:v>
                </c:pt>
                <c:pt idx="18">
                  <c:v>5.4195681226700432E-2</c:v>
                </c:pt>
                <c:pt idx="19">
                  <c:v>5.2380952380952375E-2</c:v>
                </c:pt>
                <c:pt idx="20">
                  <c:v>3.1161511105146616E-2</c:v>
                </c:pt>
                <c:pt idx="21">
                  <c:v>5.9752198241406873E-2</c:v>
                </c:pt>
                <c:pt idx="22">
                  <c:v>6.569343065693431E-2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Novabase!$C$35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3B-499B-9674-FD8C7F8AC0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Novabase!$D$35:$Z$35</c:f>
              <c:numCache>
                <c:formatCode>0.0%</c:formatCode>
                <c:ptCount val="23"/>
                <c:pt idx="0">
                  <c:v>7.8632691112492228E-2</c:v>
                </c:pt>
                <c:pt idx="1">
                  <c:v>0.1247752947187163</c:v>
                </c:pt>
                <c:pt idx="2">
                  <c:v>0.10250243609147265</c:v>
                </c:pt>
                <c:pt idx="3">
                  <c:v>8.9397964282896286E-2</c:v>
                </c:pt>
                <c:pt idx="4">
                  <c:v>-7.8003120124805006E-4</c:v>
                </c:pt>
                <c:pt idx="5">
                  <c:v>2.505827505827506E-2</c:v>
                </c:pt>
                <c:pt idx="6">
                  <c:v>2.2831272084805652E-2</c:v>
                </c:pt>
                <c:pt idx="7">
                  <c:v>1.9441682600382409E-2</c:v>
                </c:pt>
                <c:pt idx="8">
                  <c:v>2.2340357598978289E-2</c:v>
                </c:pt>
                <c:pt idx="9">
                  <c:v>5.5068493150684933E-3</c:v>
                </c:pt>
                <c:pt idx="10">
                  <c:v>5.343827671913836E-2</c:v>
                </c:pt>
                <c:pt idx="11">
                  <c:v>5.5438002539145152E-2</c:v>
                </c:pt>
                <c:pt idx="12">
                  <c:v>1.2803037890895472E-2</c:v>
                </c:pt>
                <c:pt idx="13">
                  <c:v>4.6026169987032885E-2</c:v>
                </c:pt>
                <c:pt idx="14">
                  <c:v>4.265092468754323E-2</c:v>
                </c:pt>
                <c:pt idx="15">
                  <c:v>2.1774467410744607E-2</c:v>
                </c:pt>
                <c:pt idx="16">
                  <c:v>5.8383198219803888E-2</c:v>
                </c:pt>
                <c:pt idx="17">
                  <c:v>7.0768278119333006E-2</c:v>
                </c:pt>
                <c:pt idx="18">
                  <c:v>3.3762397130196242E-2</c:v>
                </c:pt>
                <c:pt idx="19">
                  <c:v>3.3454338387073811E-2</c:v>
                </c:pt>
                <c:pt idx="20">
                  <c:v>0.13688519090116083</c:v>
                </c:pt>
                <c:pt idx="21">
                  <c:v>5.9840127897681852E-2</c:v>
                </c:pt>
                <c:pt idx="22">
                  <c:v>4.0145985401459854E-2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05"/>
          <c:y val="2.8222222222222221E-2"/>
          <c:w val="0.9"/>
          <c:h val="8.0853055555555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Novabase!$C$12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Novabase!$D$12:$Z$12</c:f>
              <c:numCache>
                <c:formatCode>#,##0</c:formatCode>
                <c:ptCount val="23"/>
                <c:pt idx="0">
                  <c:v>2.0243199999999999</c:v>
                </c:pt>
                <c:pt idx="1">
                  <c:v>6.5940000000000003</c:v>
                </c:pt>
                <c:pt idx="2">
                  <c:v>9.8879999999999999</c:v>
                </c:pt>
                <c:pt idx="3">
                  <c:v>10.196999999999999</c:v>
                </c:pt>
                <c:pt idx="4">
                  <c:v>-0.1</c:v>
                </c:pt>
                <c:pt idx="5">
                  <c:v>4.3</c:v>
                </c:pt>
                <c:pt idx="6">
                  <c:v>5.1689999999999996</c:v>
                </c:pt>
                <c:pt idx="7">
                  <c:v>5.0839999999999996</c:v>
                </c:pt>
                <c:pt idx="8">
                  <c:v>6.9969999999999999</c:v>
                </c:pt>
                <c:pt idx="9">
                  <c:v>1.6080000000000001</c:v>
                </c:pt>
                <c:pt idx="10">
                  <c:v>12.9</c:v>
                </c:pt>
                <c:pt idx="11">
                  <c:v>13.1</c:v>
                </c:pt>
                <c:pt idx="12">
                  <c:v>2.94</c:v>
                </c:pt>
                <c:pt idx="13">
                  <c:v>9.7609999999999992</c:v>
                </c:pt>
                <c:pt idx="14">
                  <c:v>9.2479999999999993</c:v>
                </c:pt>
                <c:pt idx="15">
                  <c:v>4.8090000000000002</c:v>
                </c:pt>
                <c:pt idx="16">
                  <c:v>7.4249999999999998</c:v>
                </c:pt>
                <c:pt idx="17">
                  <c:v>9.6</c:v>
                </c:pt>
                <c:pt idx="18">
                  <c:v>4.8</c:v>
                </c:pt>
                <c:pt idx="19">
                  <c:v>4.7</c:v>
                </c:pt>
                <c:pt idx="20">
                  <c:v>20.399999999999999</c:v>
                </c:pt>
                <c:pt idx="21">
                  <c:v>7.4859999999999998</c:v>
                </c:pt>
                <c:pt idx="2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Novabase!$C$36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D4-4103-AB1C-1750D6D69451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Novabase!$D$36:$Z$36</c:f>
              <c:numCache>
                <c:formatCode>0.0</c:formatCode>
                <c:ptCount val="23"/>
                <c:pt idx="0">
                  <c:v>43.950295556038576</c:v>
                </c:pt>
                <c:pt idx="1">
                  <c:v>24.00257907946618</c:v>
                </c:pt>
                <c:pt idx="2">
                  <c:v>15.659676375404532</c:v>
                </c:pt>
                <c:pt idx="3">
                  <c:v>15.463150220653135</c:v>
                </c:pt>
                <c:pt idx="4">
                  <c:v>0</c:v>
                </c:pt>
                <c:pt idx="5">
                  <c:v>39.425581395348836</c:v>
                </c:pt>
                <c:pt idx="6">
                  <c:v>28.821822402785838</c:v>
                </c:pt>
                <c:pt idx="7">
                  <c:v>18.482260031471284</c:v>
                </c:pt>
                <c:pt idx="8">
                  <c:v>18.877666428469343</c:v>
                </c:pt>
                <c:pt idx="9">
                  <c:v>79.664179104477597</c:v>
                </c:pt>
                <c:pt idx="10">
                  <c:v>9.7674418604651159</c:v>
                </c:pt>
                <c:pt idx="11">
                  <c:v>6.7441603053435113</c:v>
                </c:pt>
                <c:pt idx="12">
                  <c:v>20.939098639455779</c:v>
                </c:pt>
                <c:pt idx="13">
                  <c:v>7.1648499129187586</c:v>
                </c:pt>
                <c:pt idx="14">
                  <c:v>8.8313278546712812</c:v>
                </c:pt>
                <c:pt idx="15">
                  <c:v>14.327236431690581</c:v>
                </c:pt>
                <c:pt idx="16">
                  <c:v>8.375</c:v>
                </c:pt>
                <c:pt idx="17">
                  <c:v>7.6250253750000008</c:v>
                </c:pt>
                <c:pt idx="18">
                  <c:v>19.237432312500001</c:v>
                </c:pt>
                <c:pt idx="19">
                  <c:v>12.687155941702127</c:v>
                </c:pt>
                <c:pt idx="20">
                  <c:v>3.9711764705882358</c:v>
                </c:pt>
                <c:pt idx="21">
                  <c:v>13.464333422388458</c:v>
                </c:pt>
                <c:pt idx="22">
                  <c:v>28.7744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'Benfica SAD'!$C$6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SAD'!$D$6:$S$6</c:f>
              <c:numCache>
                <c:formatCode>#,##0</c:formatCode>
                <c:ptCount val="16"/>
                <c:pt idx="0">
                  <c:v>52</c:v>
                </c:pt>
                <c:pt idx="1">
                  <c:v>56.7</c:v>
                </c:pt>
                <c:pt idx="2">
                  <c:v>49.5</c:v>
                </c:pt>
                <c:pt idx="3">
                  <c:v>46.9</c:v>
                </c:pt>
                <c:pt idx="4">
                  <c:v>66.38</c:v>
                </c:pt>
                <c:pt idx="5">
                  <c:v>82.9</c:v>
                </c:pt>
                <c:pt idx="6">
                  <c:v>91.1</c:v>
                </c:pt>
                <c:pt idx="7">
                  <c:v>88.3</c:v>
                </c:pt>
                <c:pt idx="8">
                  <c:v>105</c:v>
                </c:pt>
                <c:pt idx="9">
                  <c:v>102</c:v>
                </c:pt>
                <c:pt idx="10">
                  <c:v>126.075</c:v>
                </c:pt>
                <c:pt idx="11">
                  <c:v>128.23500000000001</c:v>
                </c:pt>
                <c:pt idx="12">
                  <c:v>121.541</c:v>
                </c:pt>
                <c:pt idx="13">
                  <c:v>145.5</c:v>
                </c:pt>
                <c:pt idx="14">
                  <c:v>140</c:v>
                </c:pt>
                <c:pt idx="15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'Benfica SAD'!$C$27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'Benfica SAD'!$D$27:$S$27</c:f>
              <c:numCache>
                <c:formatCode>0.0</c:formatCode>
                <c:ptCount val="16"/>
                <c:pt idx="0">
                  <c:v>1.7307692307692308</c:v>
                </c:pt>
                <c:pt idx="1">
                  <c:v>0.63492063492063489</c:v>
                </c:pt>
                <c:pt idx="2">
                  <c:v>0.63636363636363635</c:v>
                </c:pt>
                <c:pt idx="3">
                  <c:v>0.8155650319829425</c:v>
                </c:pt>
                <c:pt idx="4">
                  <c:v>0.5231997589635432</c:v>
                </c:pt>
                <c:pt idx="5">
                  <c:v>0.19143546441495776</c:v>
                </c:pt>
                <c:pt idx="6">
                  <c:v>0.1035126234906696</c:v>
                </c:pt>
                <c:pt idx="7">
                  <c:v>0.2187995469988675</c:v>
                </c:pt>
                <c:pt idx="8">
                  <c:v>0.19933333333333333</c:v>
                </c:pt>
                <c:pt idx="9">
                  <c:v>0.23450980392156864</c:v>
                </c:pt>
                <c:pt idx="10">
                  <c:v>0.17878247075153678</c:v>
                </c:pt>
                <c:pt idx="11">
                  <c:v>0.20626194096775449</c:v>
                </c:pt>
                <c:pt idx="12">
                  <c:v>0.319809776124929</c:v>
                </c:pt>
                <c:pt idx="13">
                  <c:v>0.72082474226804116</c:v>
                </c:pt>
                <c:pt idx="14">
                  <c:v>0.75735714285714284</c:v>
                </c:pt>
                <c:pt idx="15">
                  <c:v>0.95670212765957452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Novabase!$C$38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F-4C31-874D-5BE668467B3C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F-4C31-874D-5BE668467B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Novabase!$D$38:$Z$38</c:f>
              <c:numCache>
                <c:formatCode>0%</c:formatCode>
                <c:ptCount val="23"/>
                <c:pt idx="0">
                  <c:v>0.22144144144144146</c:v>
                </c:pt>
                <c:pt idx="1">
                  <c:v>0.10876938423868686</c:v>
                </c:pt>
                <c:pt idx="2">
                  <c:v>0.18406146952556759</c:v>
                </c:pt>
                <c:pt idx="3">
                  <c:v>0.17865887029409222</c:v>
                </c:pt>
                <c:pt idx="4">
                  <c:v>3.5268225584594221E-2</c:v>
                </c:pt>
                <c:pt idx="5">
                  <c:v>0.14042235671731948</c:v>
                </c:pt>
                <c:pt idx="6">
                  <c:v>6.6960887074529699E-2</c:v>
                </c:pt>
                <c:pt idx="7">
                  <c:v>8.1237491031305467E-2</c:v>
                </c:pt>
                <c:pt idx="8">
                  <c:v>0.14798868142041188</c:v>
                </c:pt>
                <c:pt idx="9">
                  <c:v>0.17211449468385293</c:v>
                </c:pt>
                <c:pt idx="10">
                  <c:v>0.16765851001593673</c:v>
                </c:pt>
                <c:pt idx="11">
                  <c:v>0.16944506487441369</c:v>
                </c:pt>
                <c:pt idx="12">
                  <c:v>4.5119534552270135E-2</c:v>
                </c:pt>
                <c:pt idx="13">
                  <c:v>0.11094778609432772</c:v>
                </c:pt>
                <c:pt idx="14">
                  <c:v>8.9716374786249178E-2</c:v>
                </c:pt>
                <c:pt idx="15">
                  <c:v>7.2732401176612796E-2</c:v>
                </c:pt>
                <c:pt idx="16">
                  <c:v>9.7779141104294476E-2</c:v>
                </c:pt>
                <c:pt idx="17">
                  <c:v>2.4970553592461718E-2</c:v>
                </c:pt>
                <c:pt idx="18">
                  <c:v>0.11397928994082841</c:v>
                </c:pt>
                <c:pt idx="19">
                  <c:v>0.11016467065868264</c:v>
                </c:pt>
                <c:pt idx="20">
                  <c:v>6.7012987012987024E-2</c:v>
                </c:pt>
                <c:pt idx="21">
                  <c:v>0.13114035087719297</c:v>
                </c:pt>
                <c:pt idx="22">
                  <c:v>0.1492537313432836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Novabase!$C$39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F-4C31-874D-5BE668467B3C}"/>
                </c:ext>
              </c:extLst>
            </c:dLbl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F-4C31-874D-5BE668467B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Novabase!$D$39:$Z$39</c:f>
              <c:numCache>
                <c:formatCode>0%</c:formatCode>
                <c:ptCount val="23"/>
                <c:pt idx="0">
                  <c:v>0.12158078078078079</c:v>
                </c:pt>
                <c:pt idx="1">
                  <c:v>0.11959735195429401</c:v>
                </c:pt>
                <c:pt idx="2">
                  <c:v>0.15600889856581626</c:v>
                </c:pt>
                <c:pt idx="3">
                  <c:v>0.14685888757669152</c:v>
                </c:pt>
                <c:pt idx="4">
                  <c:v>-1.375515818431912E-3</c:v>
                </c:pt>
                <c:pt idx="5">
                  <c:v>5.0929161090120925E-2</c:v>
                </c:pt>
                <c:pt idx="6">
                  <c:v>5.7030948309152084E-2</c:v>
                </c:pt>
                <c:pt idx="7">
                  <c:v>4.799667686265624E-2</c:v>
                </c:pt>
                <c:pt idx="8">
                  <c:v>6.1108102915232922E-2</c:v>
                </c:pt>
                <c:pt idx="9">
                  <c:v>1.8149393891509966E-2</c:v>
                </c:pt>
                <c:pt idx="10">
                  <c:v>0.13011639870085334</c:v>
                </c:pt>
                <c:pt idx="11">
                  <c:v>0.13299762431724502</c:v>
                </c:pt>
                <c:pt idx="12">
                  <c:v>2.870000683333496E-2</c:v>
                </c:pt>
                <c:pt idx="13">
                  <c:v>8.8024168094508068E-2</c:v>
                </c:pt>
                <c:pt idx="14">
                  <c:v>9.0885861980855784E-2</c:v>
                </c:pt>
                <c:pt idx="15">
                  <c:v>4.8444614578716204E-2</c:v>
                </c:pt>
                <c:pt idx="16">
                  <c:v>9.1104294478527609E-2</c:v>
                </c:pt>
                <c:pt idx="17">
                  <c:v>0.11307420494699645</c:v>
                </c:pt>
                <c:pt idx="18">
                  <c:v>7.1005917159763315E-2</c:v>
                </c:pt>
                <c:pt idx="19">
                  <c:v>7.0359281437125748E-2</c:v>
                </c:pt>
                <c:pt idx="20">
                  <c:v>0.29437229437229434</c:v>
                </c:pt>
                <c:pt idx="21">
                  <c:v>0.13133333333333333</c:v>
                </c:pt>
                <c:pt idx="22">
                  <c:v>9.1210613598673301E-2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Novabase!$C$37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Novabase!$D$3:$Z$3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Novabase!$D$37:$Z$37</c:f>
              <c:numCache>
                <c:formatCode>0.0</c:formatCode>
                <c:ptCount val="23"/>
                <c:pt idx="0">
                  <c:v>5.34351124924925</c:v>
                </c:pt>
                <c:pt idx="1">
                  <c:v>2.8706448979776913</c:v>
                </c:pt>
                <c:pt idx="2">
                  <c:v>2.4430488632239946</c:v>
                </c:pt>
                <c:pt idx="3">
                  <c:v>2.2709010398363914</c:v>
                </c:pt>
                <c:pt idx="4">
                  <c:v>2.3047878954607977</c:v>
                </c:pt>
                <c:pt idx="5">
                  <c:v>2.0079117859553954</c:v>
                </c:pt>
                <c:pt idx="6">
                  <c:v>1.6437358636288408</c:v>
                </c:pt>
                <c:pt idx="7">
                  <c:v>0.88708706242211388</c:v>
                </c:pt>
                <c:pt idx="8">
                  <c:v>1.1535783829103421</c:v>
                </c:pt>
                <c:pt idx="9">
                  <c:v>1.4458565656109619</c:v>
                </c:pt>
                <c:pt idx="10">
                  <c:v>1.2709043594036837</c:v>
                </c:pt>
                <c:pt idx="11">
                  <c:v>0.89695729862535278</c:v>
                </c:pt>
                <c:pt idx="12">
                  <c:v>0.60095227403625573</c:v>
                </c:pt>
                <c:pt idx="13">
                  <c:v>0.63067995310668223</c:v>
                </c:pt>
                <c:pt idx="14">
                  <c:v>0.80264284450734125</c:v>
                </c:pt>
                <c:pt idx="15">
                  <c:v>0.69407744691139139</c:v>
                </c:pt>
                <c:pt idx="16">
                  <c:v>0.76299846625766865</c:v>
                </c:pt>
                <c:pt idx="17">
                  <c:v>0.86219368197879864</c:v>
                </c:pt>
                <c:pt idx="18">
                  <c:v>1.3659715251479292</c:v>
                </c:pt>
                <c:pt idx="19">
                  <c:v>0.89265917553892216</c:v>
                </c:pt>
                <c:pt idx="20">
                  <c:v>1.169004329004329</c:v>
                </c:pt>
                <c:pt idx="21">
                  <c:v>1.7683157894736841</c:v>
                </c:pt>
                <c:pt idx="22">
                  <c:v>2.624530679933665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Novabase!$C$41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Novabase!$D$41:$Z$41</c:f>
              <c:numCache>
                <c:formatCode>0.0</c:formatCode>
                <c:ptCount val="23"/>
                <c:pt idx="0">
                  <c:v>0.38617647058823534</c:v>
                </c:pt>
                <c:pt idx="1">
                  <c:v>0.91775550384821925</c:v>
                </c:pt>
                <c:pt idx="2">
                  <c:v>2.7721162643395032</c:v>
                </c:pt>
                <c:pt idx="3">
                  <c:v>2.4133898508898506</c:v>
                </c:pt>
                <c:pt idx="4">
                  <c:v>1.8631791941915137</c:v>
                </c:pt>
                <c:pt idx="5">
                  <c:v>1.4973070694135813</c:v>
                </c:pt>
                <c:pt idx="6">
                  <c:v>1.483830070037319</c:v>
                </c:pt>
                <c:pt idx="7">
                  <c:v>1.5174701191773476</c:v>
                </c:pt>
                <c:pt idx="8">
                  <c:v>1.4664286400697819</c:v>
                </c:pt>
                <c:pt idx="9">
                  <c:v>1.4303701384342413</c:v>
                </c:pt>
                <c:pt idx="10">
                  <c:v>1.6713976673114563</c:v>
                </c:pt>
                <c:pt idx="11">
                  <c:v>1.6671905011349746</c:v>
                </c:pt>
                <c:pt idx="12">
                  <c:v>1.7009881268114726</c:v>
                </c:pt>
                <c:pt idx="13">
                  <c:v>1.7619042545256947</c:v>
                </c:pt>
                <c:pt idx="14">
                  <c:v>1.6429315808502944</c:v>
                </c:pt>
                <c:pt idx="15">
                  <c:v>1.5058929725404917</c:v>
                </c:pt>
                <c:pt idx="16">
                  <c:v>1.4907775590551182</c:v>
                </c:pt>
                <c:pt idx="17">
                  <c:v>1.8717595918516445</c:v>
                </c:pt>
                <c:pt idx="18">
                  <c:v>1.7857884027113347</c:v>
                </c:pt>
                <c:pt idx="19">
                  <c:v>1.7753623188405796</c:v>
                </c:pt>
                <c:pt idx="20">
                  <c:v>2.1926040061633283</c:v>
                </c:pt>
                <c:pt idx="21">
                  <c:v>1.9015151515151516</c:v>
                </c:pt>
                <c:pt idx="22">
                  <c:v>1.8258992805755396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Novabase!$C$45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Novabase!$D$45:$Z$45</c:f>
              <c:numCache>
                <c:formatCode>0.0</c:formatCode>
                <c:ptCount val="23"/>
                <c:pt idx="0">
                  <c:v>1.1111111111111112</c:v>
                </c:pt>
                <c:pt idx="1">
                  <c:v>0.51136301804661288</c:v>
                </c:pt>
                <c:pt idx="2">
                  <c:v>0.64609267761632039</c:v>
                </c:pt>
                <c:pt idx="3">
                  <c:v>0.70940749488723098</c:v>
                </c:pt>
                <c:pt idx="4">
                  <c:v>0.83178817056396137</c:v>
                </c:pt>
                <c:pt idx="5">
                  <c:v>1.05638924091862</c:v>
                </c:pt>
                <c:pt idx="6">
                  <c:v>1.221250068957908</c:v>
                </c:pt>
                <c:pt idx="7">
                  <c:v>1.1898814244175069</c:v>
                </c:pt>
                <c:pt idx="8">
                  <c:v>1.2497161621631063</c:v>
                </c:pt>
                <c:pt idx="9">
                  <c:v>1.2936183661030722</c:v>
                </c:pt>
                <c:pt idx="10">
                  <c:v>0.96449537027697652</c:v>
                </c:pt>
                <c:pt idx="11">
                  <c:v>0.99492375479705175</c:v>
                </c:pt>
                <c:pt idx="12">
                  <c:v>1.0139009556907037</c:v>
                </c:pt>
                <c:pt idx="13">
                  <c:v>0.97453332130940573</c:v>
                </c:pt>
                <c:pt idx="14">
                  <c:v>1.1099809344104408</c:v>
                </c:pt>
                <c:pt idx="15">
                  <c:v>1.120058830640287</c:v>
                </c:pt>
                <c:pt idx="16">
                  <c:v>1.7325153374233127</c:v>
                </c:pt>
                <c:pt idx="17">
                  <c:v>1.4169611307420493</c:v>
                </c:pt>
                <c:pt idx="18">
                  <c:v>1.7263313609467457</c:v>
                </c:pt>
                <c:pt idx="19">
                  <c:v>1.5778443113772456</c:v>
                </c:pt>
                <c:pt idx="20">
                  <c:v>1.7691197691197691</c:v>
                </c:pt>
                <c:pt idx="21">
                  <c:v>1.9771929824561405</c:v>
                </c:pt>
                <c:pt idx="22">
                  <c:v>1.8026533996683252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'Orey Antunes'!$C$26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Antunes'!$I$26:$AF$26</c:f>
              <c:numCache>
                <c:formatCode>#,##0</c:formatCode>
                <c:ptCount val="24"/>
                <c:pt idx="0">
                  <c:v>2.0499999999999998</c:v>
                </c:pt>
                <c:pt idx="1">
                  <c:v>2.0549999999999997</c:v>
                </c:pt>
                <c:pt idx="2">
                  <c:v>2.72</c:v>
                </c:pt>
                <c:pt idx="3">
                  <c:v>3.0649999999999999</c:v>
                </c:pt>
                <c:pt idx="4">
                  <c:v>6.7649999999999997</c:v>
                </c:pt>
                <c:pt idx="5">
                  <c:v>5.8450000000000006</c:v>
                </c:pt>
                <c:pt idx="6">
                  <c:v>12.02</c:v>
                </c:pt>
                <c:pt idx="7">
                  <c:v>16.72</c:v>
                </c:pt>
                <c:pt idx="8">
                  <c:v>27.3</c:v>
                </c:pt>
                <c:pt idx="9">
                  <c:v>27.9</c:v>
                </c:pt>
                <c:pt idx="10">
                  <c:v>27.599999999999998</c:v>
                </c:pt>
                <c:pt idx="11">
                  <c:v>20.52</c:v>
                </c:pt>
                <c:pt idx="12">
                  <c:v>22.200000000000003</c:v>
                </c:pt>
                <c:pt idx="13">
                  <c:v>13.799999999999999</c:v>
                </c:pt>
                <c:pt idx="14">
                  <c:v>16.799999999999997</c:v>
                </c:pt>
                <c:pt idx="15">
                  <c:v>20.88</c:v>
                </c:pt>
                <c:pt idx="16">
                  <c:v>21.72</c:v>
                </c:pt>
                <c:pt idx="17">
                  <c:v>18</c:v>
                </c:pt>
                <c:pt idx="18">
                  <c:v>9</c:v>
                </c:pt>
                <c:pt idx="19">
                  <c:v>7.8000000000000007</c:v>
                </c:pt>
                <c:pt idx="20">
                  <c:v>4.8480000000000008</c:v>
                </c:pt>
                <c:pt idx="21">
                  <c:v>1.1854615000000002</c:v>
                </c:pt>
                <c:pt idx="22">
                  <c:v>0.88316881749999998</c:v>
                </c:pt>
                <c:pt idx="23">
                  <c:v>0.88316881749999998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'Orey Antunes'!$C$5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320467836257311E-2"/>
                  <c:y val="-4.23333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6-404C-9E3C-FA7EEF40AD00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86-404C-9E3C-FA7EEF40A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'Orey Antunes'!$I$5:$AF$5</c:f>
              <c:numCache>
                <c:formatCode>#,##0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10</c:v>
                </c:pt>
                <c:pt idx="9">
                  <c:v>10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11.854615000000001</c:v>
                </c:pt>
                <c:pt idx="22">
                  <c:v>11.854615000000001</c:v>
                </c:pt>
                <c:pt idx="23">
                  <c:v>11.854615000000001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'Orey Antunes'!$C$6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Antunes'!$I$6:$AF$6</c:f>
              <c:numCache>
                <c:formatCode>#,##0</c:formatCode>
                <c:ptCount val="24"/>
                <c:pt idx="0">
                  <c:v>25.938290755000001</c:v>
                </c:pt>
                <c:pt idx="1">
                  <c:v>29.670714820000001</c:v>
                </c:pt>
                <c:pt idx="2">
                  <c:v>34.54216538</c:v>
                </c:pt>
                <c:pt idx="3">
                  <c:v>36.587698940000003</c:v>
                </c:pt>
                <c:pt idx="4">
                  <c:v>39.501190000000001</c:v>
                </c:pt>
                <c:pt idx="5">
                  <c:v>44.475918999999998</c:v>
                </c:pt>
                <c:pt idx="6">
                  <c:v>52.996062999999999</c:v>
                </c:pt>
                <c:pt idx="7">
                  <c:v>67.764424000000005</c:v>
                </c:pt>
                <c:pt idx="8">
                  <c:v>67.329575000000006</c:v>
                </c:pt>
                <c:pt idx="9">
                  <c:v>73.230772000000002</c:v>
                </c:pt>
                <c:pt idx="10">
                  <c:v>77.774579000000003</c:v>
                </c:pt>
                <c:pt idx="11">
                  <c:v>63.455851000000003</c:v>
                </c:pt>
                <c:pt idx="12">
                  <c:v>85.618615000000005</c:v>
                </c:pt>
                <c:pt idx="13">
                  <c:v>8.6099610000000002</c:v>
                </c:pt>
                <c:pt idx="14">
                  <c:v>10.100984</c:v>
                </c:pt>
                <c:pt idx="15">
                  <c:v>16.760000000000002</c:v>
                </c:pt>
                <c:pt idx="16">
                  <c:v>19.78</c:v>
                </c:pt>
                <c:pt idx="17">
                  <c:v>28.76</c:v>
                </c:pt>
                <c:pt idx="18">
                  <c:v>81.58</c:v>
                </c:pt>
                <c:pt idx="19">
                  <c:v>83.81</c:v>
                </c:pt>
                <c:pt idx="20">
                  <c:v>73.790000000000006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'Orey Antunes'!$C$27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'Orey Antunes'!$I$27:$AF$27</c:f>
              <c:numCache>
                <c:formatCode>0.0</c:formatCode>
                <c:ptCount val="24"/>
                <c:pt idx="0">
                  <c:v>7.9033735081592879E-2</c:v>
                </c:pt>
                <c:pt idx="1">
                  <c:v>6.9260212046350675E-2</c:v>
                </c:pt>
                <c:pt idx="2">
                  <c:v>7.874433956519955E-2</c:v>
                </c:pt>
                <c:pt idx="3">
                  <c:v>8.3771324483299131E-2</c:v>
                </c:pt>
                <c:pt idx="4">
                  <c:v>0.17126066328634654</c:v>
                </c:pt>
                <c:pt idx="5">
                  <c:v>0.13141943171539638</c:v>
                </c:pt>
                <c:pt idx="6">
                  <c:v>0.22680930090976759</c:v>
                </c:pt>
                <c:pt idx="7">
                  <c:v>0.24673713746906487</c:v>
                </c:pt>
                <c:pt idx="8">
                  <c:v>0.40546817650341621</c:v>
                </c:pt>
                <c:pt idx="9">
                  <c:v>0.38098738055089737</c:v>
                </c:pt>
                <c:pt idx="10">
                  <c:v>0.3548717377177959</c:v>
                </c:pt>
                <c:pt idx="11">
                  <c:v>0.32337443555835377</c:v>
                </c:pt>
                <c:pt idx="12">
                  <c:v>0.25928940803352168</c:v>
                </c:pt>
                <c:pt idx="13">
                  <c:v>1.6027947164917471</c:v>
                </c:pt>
                <c:pt idx="14">
                  <c:v>1.6632042977199049</c:v>
                </c:pt>
                <c:pt idx="15">
                  <c:v>1.2458233890214796</c:v>
                </c:pt>
                <c:pt idx="16">
                  <c:v>1.0980788675429727</c:v>
                </c:pt>
                <c:pt idx="17">
                  <c:v>0.62586926286509037</c:v>
                </c:pt>
                <c:pt idx="18">
                  <c:v>0.1103211571463594</c:v>
                </c:pt>
                <c:pt idx="19">
                  <c:v>9.3067653024698729E-2</c:v>
                </c:pt>
                <c:pt idx="20">
                  <c:v>6.5699959344084569E-2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'Orey Antunes'!$C$7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Antunes'!$I$7:$AF$7</c:f>
              <c:numCache>
                <c:formatCode>#,##0</c:formatCode>
                <c:ptCount val="24"/>
                <c:pt idx="0">
                  <c:v>0.74429430500000004</c:v>
                </c:pt>
                <c:pt idx="1">
                  <c:v>1.138649435</c:v>
                </c:pt>
                <c:pt idx="2">
                  <c:v>0.85642700000000005</c:v>
                </c:pt>
                <c:pt idx="3">
                  <c:v>1.0947260000000001</c:v>
                </c:pt>
                <c:pt idx="4">
                  <c:v>1.105469</c:v>
                </c:pt>
                <c:pt idx="5">
                  <c:v>1.5875059999999999</c:v>
                </c:pt>
                <c:pt idx="6">
                  <c:v>3.1579489999999999</c:v>
                </c:pt>
                <c:pt idx="7">
                  <c:v>3.3637410000000001</c:v>
                </c:pt>
                <c:pt idx="8">
                  <c:v>4.1824450000000004</c:v>
                </c:pt>
                <c:pt idx="9">
                  <c:v>4.4027630000000002</c:v>
                </c:pt>
                <c:pt idx="10" formatCode="0">
                  <c:v>4.3993330000000004</c:v>
                </c:pt>
                <c:pt idx="11" formatCode="0">
                  <c:v>2.8084799999999999</c:v>
                </c:pt>
                <c:pt idx="12">
                  <c:v>4.613804</c:v>
                </c:pt>
                <c:pt idx="13">
                  <c:v>-3.9615939999999998</c:v>
                </c:pt>
                <c:pt idx="14">
                  <c:v>-5.5620190000000003</c:v>
                </c:pt>
                <c:pt idx="15">
                  <c:v>-3.7451400000000001</c:v>
                </c:pt>
                <c:pt idx="16">
                  <c:v>-0.36621799999999993</c:v>
                </c:pt>
                <c:pt idx="17">
                  <c:v>-5.2206090000000005</c:v>
                </c:pt>
                <c:pt idx="18">
                  <c:v>-2.4703480000000004</c:v>
                </c:pt>
                <c:pt idx="19">
                  <c:v>-12.94533</c:v>
                </c:pt>
                <c:pt idx="20">
                  <c:v>-3.0768791499999999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'Orey Antunes'!$C$28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'Orey Antunes'!$I$28:$AC$28</c:f>
              <c:numCache>
                <c:formatCode>0.0</c:formatCode>
                <c:ptCount val="21"/>
                <c:pt idx="0">
                  <c:v>2.7542868274398522</c:v>
                </c:pt>
                <c:pt idx="1">
                  <c:v>1.8047697006936991</c:v>
                </c:pt>
                <c:pt idx="2">
                  <c:v>3.1759858108163335</c:v>
                </c:pt>
                <c:pt idx="3">
                  <c:v>2.7997873440477341</c:v>
                </c:pt>
                <c:pt idx="4">
                  <c:v>6.1195745877993861</c:v>
                </c:pt>
                <c:pt idx="5">
                  <c:v>3.6818758480282918</c:v>
                </c:pt>
                <c:pt idx="6">
                  <c:v>3.8062679289627539</c:v>
                </c:pt>
                <c:pt idx="7">
                  <c:v>4.970656183100898</c:v>
                </c:pt>
                <c:pt idx="8">
                  <c:v>6.5272824866794421</c:v>
                </c:pt>
                <c:pt idx="9">
                  <c:v>6.3369297870450891</c:v>
                </c:pt>
                <c:pt idx="10">
                  <c:v>6.2736783053249194</c:v>
                </c:pt>
                <c:pt idx="11">
                  <c:v>7.3064433430182874</c:v>
                </c:pt>
                <c:pt idx="12">
                  <c:v>4.8116478289931699</c:v>
                </c:pt>
                <c:pt idx="13">
                  <c:v>-3.4834463097429973</c:v>
                </c:pt>
                <c:pt idx="14">
                  <c:v>-3.0204859062869072</c:v>
                </c:pt>
                <c:pt idx="15">
                  <c:v>-5.5752254922379398</c:v>
                </c:pt>
                <c:pt idx="16">
                  <c:v>-59.308936207395604</c:v>
                </c:pt>
                <c:pt idx="17">
                  <c:v>-3.4478736101477812</c:v>
                </c:pt>
                <c:pt idx="18">
                  <c:v>-3.6432114017944026</c:v>
                </c:pt>
                <c:pt idx="19">
                  <c:v>-0.60253388673753394</c:v>
                </c:pt>
                <c:pt idx="20">
                  <c:v>-1.57562249398063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'Orey Antunes'!$C$32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Antunes'!$I$32:$AF$32</c:f>
              <c:numCache>
                <c:formatCode>0.0%</c:formatCode>
                <c:ptCount val="24"/>
                <c:pt idx="0">
                  <c:v>2.869480923127234E-2</c:v>
                </c:pt>
                <c:pt idx="1">
                  <c:v>3.8376205019249349E-2</c:v>
                </c:pt>
                <c:pt idx="2">
                  <c:v>2.4793668566472485E-2</c:v>
                </c:pt>
                <c:pt idx="3">
                  <c:v>2.9920602599120435E-2</c:v>
                </c:pt>
                <c:pt idx="4">
                  <c:v>2.7985713848114449E-2</c:v>
                </c:pt>
                <c:pt idx="5">
                  <c:v>3.5693607590210785E-2</c:v>
                </c:pt>
                <c:pt idx="6">
                  <c:v>5.958836980022459E-2</c:v>
                </c:pt>
                <c:pt idx="7">
                  <c:v>4.9638745545892926E-2</c:v>
                </c:pt>
                <c:pt idx="8">
                  <c:v>6.2118987087026761E-2</c:v>
                </c:pt>
                <c:pt idx="9">
                  <c:v>6.0121761381950203E-2</c:v>
                </c:pt>
                <c:pt idx="10">
                  <c:v>5.6565179221349439E-2</c:v>
                </c:pt>
                <c:pt idx="11">
                  <c:v>4.425880286437258E-2</c:v>
                </c:pt>
                <c:pt idx="12">
                  <c:v>5.3887860718139384E-2</c:v>
                </c:pt>
                <c:pt idx="13">
                  <c:v>-0.46011753131053668</c:v>
                </c:pt>
                <c:pt idx="14">
                  <c:v>-0.55064130385712917</c:v>
                </c:pt>
                <c:pt idx="15">
                  <c:v>-0.22345704057279234</c:v>
                </c:pt>
                <c:pt idx="16">
                  <c:v>-1.8514560161779572E-2</c:v>
                </c:pt>
                <c:pt idx="17">
                  <c:v>-0.18152326147426984</c:v>
                </c:pt>
                <c:pt idx="18">
                  <c:v>-3.0281294434910525E-2</c:v>
                </c:pt>
                <c:pt idx="19">
                  <c:v>-0.15446044624746449</c:v>
                </c:pt>
                <c:pt idx="20">
                  <c:v>-4.1697779509418616E-2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'Orey Antunes'!$C$33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4C-4DC0-9CAF-0CC4D6615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Antunes'!$I$33:$AF$33</c:f>
              <c:numCache>
                <c:formatCode>0.0%</c:formatCode>
                <c:ptCount val="24"/>
                <c:pt idx="0">
                  <c:v>7.4973926322617485E-3</c:v>
                </c:pt>
                <c:pt idx="1">
                  <c:v>2.7306894522603889E-2</c:v>
                </c:pt>
                <c:pt idx="2">
                  <c:v>1.4057196318130766E-2</c:v>
                </c:pt>
                <c:pt idx="3">
                  <c:v>1.9887230437564105E-2</c:v>
                </c:pt>
                <c:pt idx="4">
                  <c:v>1.761250737003113E-2</c:v>
                </c:pt>
                <c:pt idx="5">
                  <c:v>2.3597578725691987E-2</c:v>
                </c:pt>
                <c:pt idx="6">
                  <c:v>4.5024797408064074E-2</c:v>
                </c:pt>
                <c:pt idx="7">
                  <c:v>2.9972733185188734E-2</c:v>
                </c:pt>
                <c:pt idx="8">
                  <c:v>3.9933387371003007E-2</c:v>
                </c:pt>
                <c:pt idx="9">
                  <c:v>3.7825027981406502E-2</c:v>
                </c:pt>
                <c:pt idx="10">
                  <c:v>3.8469883584969326E-2</c:v>
                </c:pt>
                <c:pt idx="11">
                  <c:v>2.5370000947587953E-2</c:v>
                </c:pt>
                <c:pt idx="12">
                  <c:v>3.9546703716242082E-2</c:v>
                </c:pt>
                <c:pt idx="13">
                  <c:v>-0.49833048024259347</c:v>
                </c:pt>
                <c:pt idx="14">
                  <c:v>-0.5865579036656231</c:v>
                </c:pt>
                <c:pt idx="15">
                  <c:v>-0.24642004773269688</c:v>
                </c:pt>
                <c:pt idx="16">
                  <c:v>-3.4883720930232551E-2</c:v>
                </c:pt>
                <c:pt idx="17">
                  <c:v>-0.19054242002781641</c:v>
                </c:pt>
                <c:pt idx="18">
                  <c:v>-5.4425104192203977E-2</c:v>
                </c:pt>
                <c:pt idx="19">
                  <c:v>-0.17658990573917194</c:v>
                </c:pt>
                <c:pt idx="20">
                  <c:v>-5.5427564710665393E-2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'Orey Antunes'!$C$35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4C-4DC0-9CAF-0CC4D661598D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4C-4DC0-9CAF-0CC4D6615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Antunes'!$I$35:$AF$35</c:f>
              <c:numCache>
                <c:formatCode>0.0%</c:formatCode>
                <c:ptCount val="24"/>
                <c:pt idx="0">
                  <c:v>2.2635750772699668E-2</c:v>
                </c:pt>
                <c:pt idx="1">
                  <c:v>2.8426388784926485E-2</c:v>
                </c:pt>
                <c:pt idx="2">
                  <c:v>1.3479525527070475E-2</c:v>
                </c:pt>
                <c:pt idx="3">
                  <c:v>1.8408810051283316E-2</c:v>
                </c:pt>
                <c:pt idx="4">
                  <c:v>2.2393477259799011E-2</c:v>
                </c:pt>
                <c:pt idx="5">
                  <c:v>1.7493961170313311E-2</c:v>
                </c:pt>
                <c:pt idx="6">
                  <c:v>2.8039535691547501E-2</c:v>
                </c:pt>
                <c:pt idx="7">
                  <c:v>1.9145340924022317E-2</c:v>
                </c:pt>
                <c:pt idx="8">
                  <c:v>2.0054158963575812E-2</c:v>
                </c:pt>
                <c:pt idx="9">
                  <c:v>1.979509378926116E-2</c:v>
                </c:pt>
                <c:pt idx="10">
                  <c:v>2.921826166362148E-2</c:v>
                </c:pt>
                <c:pt idx="11">
                  <c:v>2.0503877569934409E-2</c:v>
                </c:pt>
                <c:pt idx="12">
                  <c:v>3.617309156425854E-2</c:v>
                </c:pt>
                <c:pt idx="13">
                  <c:v>0.66626771015571373</c:v>
                </c:pt>
                <c:pt idx="14">
                  <c:v>0.89701757769342083</c:v>
                </c:pt>
                <c:pt idx="15">
                  <c:v>0.18370381861575177</c:v>
                </c:pt>
                <c:pt idx="16">
                  <c:v>7.6845298281092003E-2</c:v>
                </c:pt>
                <c:pt idx="17">
                  <c:v>0.10605006954102919</c:v>
                </c:pt>
                <c:pt idx="18">
                  <c:v>-0.1567786222113263</c:v>
                </c:pt>
                <c:pt idx="19">
                  <c:v>-2.434077079107505E-2</c:v>
                </c:pt>
                <c:pt idx="20">
                  <c:v>-0.14595473641414825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'Orey Antunes'!$C$12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20"/>
              <c:layout>
                <c:manualLayout>
                  <c:x val="0"/>
                  <c:y val="2.4694444444444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8C-46D9-BA29-D752022F1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Antunes'!$I$12:$AF$12</c:f>
              <c:numCache>
                <c:formatCode>#,##0</c:formatCode>
                <c:ptCount val="24"/>
                <c:pt idx="0">
                  <c:v>0.58713268499999993</c:v>
                </c:pt>
                <c:pt idx="1">
                  <c:v>0.84343127500000004</c:v>
                </c:pt>
                <c:pt idx="2" formatCode="#,##0.00">
                  <c:v>0.46561200000000003</c:v>
                </c:pt>
                <c:pt idx="3">
                  <c:v>0.67353600000000002</c:v>
                </c:pt>
                <c:pt idx="4">
                  <c:v>0.88456900000000005</c:v>
                </c:pt>
                <c:pt idx="5">
                  <c:v>0.77805999999999997</c:v>
                </c:pt>
                <c:pt idx="6">
                  <c:v>1.4859849999999999</c:v>
                </c:pt>
                <c:pt idx="7">
                  <c:v>1.2973730000000001</c:v>
                </c:pt>
                <c:pt idx="8">
                  <c:v>1.350238</c:v>
                </c:pt>
                <c:pt idx="9">
                  <c:v>1.4496100000000001</c:v>
                </c:pt>
                <c:pt idx="10">
                  <c:v>2.2724380000000002</c:v>
                </c:pt>
                <c:pt idx="11">
                  <c:v>1.301091</c:v>
                </c:pt>
                <c:pt idx="12">
                  <c:v>3.0970900000000001</c:v>
                </c:pt>
                <c:pt idx="13">
                  <c:v>5.7365389999999996</c:v>
                </c:pt>
                <c:pt idx="14">
                  <c:v>9.0607602000000007</c:v>
                </c:pt>
                <c:pt idx="15">
                  <c:v>3.0788760000000002</c:v>
                </c:pt>
                <c:pt idx="16">
                  <c:v>1.52</c:v>
                </c:pt>
                <c:pt idx="17">
                  <c:v>3.05</c:v>
                </c:pt>
                <c:pt idx="18">
                  <c:v>-12.79</c:v>
                </c:pt>
                <c:pt idx="19">
                  <c:v>-2.04</c:v>
                </c:pt>
                <c:pt idx="20">
                  <c:v>-10.77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'Orey Antunes'!$C$36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C8-4D45-80AC-379A727FDBF7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'Orey Antunes'!$L$36:$AF$36</c:f>
              <c:numCache>
                <c:formatCode>0.0</c:formatCode>
                <c:ptCount val="21"/>
                <c:pt idx="0">
                  <c:v>4.5506105093120484</c:v>
                </c:pt>
                <c:pt idx="1">
                  <c:v>7.6477923146752813</c:v>
                </c:pt>
                <c:pt idx="2">
                  <c:v>7.5122741176773014</c:v>
                </c:pt>
                <c:pt idx="3">
                  <c:v>8.0889107225173884</c:v>
                </c:pt>
                <c:pt idx="4">
                  <c:v>12.887581289266848</c:v>
                </c:pt>
                <c:pt idx="5">
                  <c:v>20.218657747745212</c:v>
                </c:pt>
                <c:pt idx="6">
                  <c:v>19.246555970226474</c:v>
                </c:pt>
                <c:pt idx="7">
                  <c:v>12.145545885080251</c:v>
                </c:pt>
                <c:pt idx="8">
                  <c:v>15.771379557617415</c:v>
                </c:pt>
                <c:pt idx="9">
                  <c:v>7.1680190113945681</c:v>
                </c:pt>
                <c:pt idx="10">
                  <c:v>2.4056316883751685</c:v>
                </c:pt>
                <c:pt idx="11">
                  <c:v>1.8541490591484802</c:v>
                </c:pt>
                <c:pt idx="12">
                  <c:v>6.781695657766015</c:v>
                </c:pt>
                <c:pt idx="13">
                  <c:v>14.289473684210526</c:v>
                </c:pt>
                <c:pt idx="14">
                  <c:v>5.9016393442622954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'Orey Antunes'!$C$38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8-4CDD-B23D-B8474EB67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Antunes'!$I$38:$AF$38</c:f>
              <c:numCache>
                <c:formatCode>0%</c:formatCode>
                <c:ptCount val="24"/>
                <c:pt idx="0">
                  <c:v>7.9246290927185395E-2</c:v>
                </c:pt>
                <c:pt idx="1">
                  <c:v>0.25567361360683916</c:v>
                </c:pt>
                <c:pt idx="2">
                  <c:v>8.1154588421658361E-2</c:v>
                </c:pt>
                <c:pt idx="3">
                  <c:v>0.11254862714829521</c:v>
                </c:pt>
                <c:pt idx="4">
                  <c:v>0.110985793263306</c:v>
                </c:pt>
                <c:pt idx="5">
                  <c:v>0.16002149224748285</c:v>
                </c:pt>
                <c:pt idx="6">
                  <c:v>0.3179378609739959</c:v>
                </c:pt>
                <c:pt idx="7">
                  <c:v>0.21735598949072657</c:v>
                </c:pt>
                <c:pt idx="8">
                  <c:v>0.13597053765522435</c:v>
                </c:pt>
                <c:pt idx="9">
                  <c:v>0.13077550635003068</c:v>
                </c:pt>
                <c:pt idx="10">
                  <c:v>0.10551059020612231</c:v>
                </c:pt>
                <c:pt idx="11">
                  <c:v>6.0130202828946058E-2</c:v>
                </c:pt>
                <c:pt idx="12">
                  <c:v>0.12514246043004015</c:v>
                </c:pt>
                <c:pt idx="13">
                  <c:v>-0.16218744769343055</c:v>
                </c:pt>
                <c:pt idx="14">
                  <c:v>-0.16927749899515973</c:v>
                </c:pt>
                <c:pt idx="15">
                  <c:v>-0.15538551522563596</c:v>
                </c:pt>
                <c:pt idx="16">
                  <c:v>-2.9536210859437383E-2</c:v>
                </c:pt>
                <c:pt idx="17">
                  <c:v>-0.23620689655172417</c:v>
                </c:pt>
                <c:pt idx="18">
                  <c:v>-0.34960629921259845</c:v>
                </c:pt>
                <c:pt idx="19">
                  <c:v>-1.2542372881355932</c:v>
                </c:pt>
                <c:pt idx="20">
                  <c:v>2.1526315789473682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'Orey Antunes'!$C$39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A8-4CDD-B23D-B8474EB67809}"/>
                </c:ext>
              </c:extLst>
            </c:dLbl>
            <c:dLbl>
              <c:idx val="1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A8-4CDD-B23D-B8474EB67809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86-428C-B5A5-BBD125CE9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Antunes'!$I$39:$AF$39</c:f>
              <c:numCache>
                <c:formatCode>0%</c:formatCode>
                <c:ptCount val="24"/>
                <c:pt idx="0">
                  <c:v>0.2392564160732078</c:v>
                </c:pt>
                <c:pt idx="1">
                  <c:v>0.26615540395554432</c:v>
                </c:pt>
                <c:pt idx="2">
                  <c:v>7.781959656191989E-2</c:v>
                </c:pt>
                <c:pt idx="3">
                  <c:v>0.10418174140488569</c:v>
                </c:pt>
                <c:pt idx="4">
                  <c:v>0.14111323194286357</c:v>
                </c:pt>
                <c:pt idx="5">
                  <c:v>0.11863122926019463</c:v>
                </c:pt>
                <c:pt idx="6">
                  <c:v>0.1979982257261185</c:v>
                </c:pt>
                <c:pt idx="7">
                  <c:v>0.13883800636288113</c:v>
                </c:pt>
                <c:pt idx="8">
                  <c:v>6.8283082303224399E-2</c:v>
                </c:pt>
                <c:pt idx="9">
                  <c:v>6.8439167178131338E-2</c:v>
                </c:pt>
                <c:pt idx="10">
                  <c:v>8.0136349415159722E-2</c:v>
                </c:pt>
                <c:pt idx="11">
                  <c:v>4.8596857351605724E-2</c:v>
                </c:pt>
                <c:pt idx="12">
                  <c:v>0.1144669278176341</c:v>
                </c:pt>
                <c:pt idx="13">
                  <c:v>0.21684457137379295</c:v>
                </c:pt>
                <c:pt idx="14">
                  <c:v>0.25887451376531162</c:v>
                </c:pt>
                <c:pt idx="15">
                  <c:v>0.11583843427986565</c:v>
                </c:pt>
                <c:pt idx="16">
                  <c:v>6.5065276096151925E-2</c:v>
                </c:pt>
                <c:pt idx="17">
                  <c:v>0.13146551724137931</c:v>
                </c:pt>
                <c:pt idx="18">
                  <c:v>-1.0070866141732284</c:v>
                </c:pt>
                <c:pt idx="19">
                  <c:v>-0.17288135593220338</c:v>
                </c:pt>
                <c:pt idx="20">
                  <c:v>5.6684210526315786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'Orey Antunes'!$C$37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Antunes'!$I$37:$AF$37</c:f>
              <c:numCache>
                <c:formatCode>0.0</c:formatCode>
                <c:ptCount val="24"/>
                <c:pt idx="0">
                  <c:v>0.8353744655691856</c:v>
                </c:pt>
                <c:pt idx="1">
                  <c:v>0.64848123533081403</c:v>
                </c:pt>
                <c:pt idx="2">
                  <c:v>0.45460448323587477</c:v>
                </c:pt>
                <c:pt idx="3">
                  <c:v>0.47409052731550294</c:v>
                </c:pt>
                <c:pt idx="4">
                  <c:v>1.0792046907516224</c:v>
                </c:pt>
                <c:pt idx="5">
                  <c:v>0.89119031311960228</c:v>
                </c:pt>
                <c:pt idx="6">
                  <c:v>1.601589971115418</c:v>
                </c:pt>
                <c:pt idx="7">
                  <c:v>1.7892860930413785</c:v>
                </c:pt>
                <c:pt idx="8">
                  <c:v>1.3805922710500118</c:v>
                </c:pt>
                <c:pt idx="9">
                  <c:v>1.3172182616495915</c:v>
                </c:pt>
                <c:pt idx="10">
                  <c:v>0.97329970888464634</c:v>
                </c:pt>
                <c:pt idx="11">
                  <c:v>0.76643948259956407</c:v>
                </c:pt>
                <c:pt idx="12">
                  <c:v>0.82050111477273091</c:v>
                </c:pt>
                <c:pt idx="13">
                  <c:v>0.52164817234892724</c:v>
                </c:pt>
                <c:pt idx="14">
                  <c:v>0.47999193613547286</c:v>
                </c:pt>
                <c:pt idx="15">
                  <c:v>0.78558100675817877</c:v>
                </c:pt>
                <c:pt idx="16">
                  <c:v>0.92974855053185512</c:v>
                </c:pt>
                <c:pt idx="17">
                  <c:v>0.77586206896551724</c:v>
                </c:pt>
                <c:pt idx="18">
                  <c:v>0.70866141732283472</c:v>
                </c:pt>
                <c:pt idx="19">
                  <c:v>0.66101694915254239</c:v>
                </c:pt>
                <c:pt idx="20">
                  <c:v>-2.5515789473684216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'Orey Antunes'!$C$41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Antunes'!$I$41:$AF$41</c:f>
              <c:numCache>
                <c:formatCode>0.0</c:formatCode>
                <c:ptCount val="24"/>
                <c:pt idx="0">
                  <c:v>0.94992996031132049</c:v>
                </c:pt>
                <c:pt idx="1">
                  <c:v>0.99177641879747858</c:v>
                </c:pt>
                <c:pt idx="2">
                  <c:v>1.2114969344402235</c:v>
                </c:pt>
                <c:pt idx="3">
                  <c:v>1.2397583880920851</c:v>
                </c:pt>
                <c:pt idx="4">
                  <c:v>1.2806593219881135</c:v>
                </c:pt>
                <c:pt idx="5">
                  <c:v>1.2018607892639428</c:v>
                </c:pt>
                <c:pt idx="6">
                  <c:v>1.1706657912944518</c:v>
                </c:pt>
                <c:pt idx="7">
                  <c:v>0.93656834696882796</c:v>
                </c:pt>
                <c:pt idx="8">
                  <c:v>1.0088359039429946</c:v>
                </c:pt>
                <c:pt idx="9">
                  <c:v>1.0085938080577821</c:v>
                </c:pt>
                <c:pt idx="10">
                  <c:v>1.39485259879638</c:v>
                </c:pt>
                <c:pt idx="11">
                  <c:v>1.1727849898934848</c:v>
                </c:pt>
                <c:pt idx="12">
                  <c:v>1.4043108500671184</c:v>
                </c:pt>
                <c:pt idx="13">
                  <c:v>1.491643431545274</c:v>
                </c:pt>
                <c:pt idx="14">
                  <c:v>1.0533532482881942</c:v>
                </c:pt>
                <c:pt idx="15">
                  <c:v>22.2</c:v>
                </c:pt>
                <c:pt idx="16">
                  <c:v>52</c:v>
                </c:pt>
                <c:pt idx="17">
                  <c:v>51.111111111111107</c:v>
                </c:pt>
                <c:pt idx="18">
                  <c:v>0.60552268244575935</c:v>
                </c:pt>
                <c:pt idx="19">
                  <c:v>0.53613053613053618</c:v>
                </c:pt>
                <c:pt idx="20">
                  <c:v>0.5155875299760192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'Orey Antunes'!$C$45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'Orey Antunes'!$I$3:$AF$3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'Orey Antunes'!$I$45:$AF$45</c:f>
              <c:numCache>
                <c:formatCode>0.0</c:formatCode>
                <c:ptCount val="24"/>
                <c:pt idx="0">
                  <c:v>4.7273796426088728</c:v>
                </c:pt>
                <c:pt idx="1">
                  <c:v>3.8411945331712816</c:v>
                </c:pt>
                <c:pt idx="2">
                  <c:v>2.2331256916213889</c:v>
                </c:pt>
                <c:pt idx="3">
                  <c:v>2.4099296056773305</c:v>
                </c:pt>
                <c:pt idx="4">
                  <c:v>2.7804002708779842</c:v>
                </c:pt>
                <c:pt idx="5">
                  <c:v>2.9843007182582255</c:v>
                </c:pt>
                <c:pt idx="6">
                  <c:v>3.8854054381041436</c:v>
                </c:pt>
                <c:pt idx="7">
                  <c:v>6.0514455066606496</c:v>
                </c:pt>
                <c:pt idx="8">
                  <c:v>2.3901063217876377</c:v>
                </c:pt>
                <c:pt idx="9">
                  <c:v>2.5482213304376562</c:v>
                </c:pt>
                <c:pt idx="10">
                  <c:v>1.7180789786164643</c:v>
                </c:pt>
                <c:pt idx="11">
                  <c:v>1.929014369657124</c:v>
                </c:pt>
                <c:pt idx="12">
                  <c:v>2.8110796183235784</c:v>
                </c:pt>
                <c:pt idx="13">
                  <c:v>2.6208488712667566</c:v>
                </c:pt>
                <c:pt idx="14">
                  <c:v>1.4796490561815705</c:v>
                </c:pt>
                <c:pt idx="15">
                  <c:v>2.680074317167195</c:v>
                </c:pt>
                <c:pt idx="16">
                  <c:v>4.9209159821079052</c:v>
                </c:pt>
                <c:pt idx="17">
                  <c:v>5.878212543103448</c:v>
                </c:pt>
                <c:pt idx="18">
                  <c:v>10.62992125984252</c:v>
                </c:pt>
                <c:pt idx="19">
                  <c:v>8.9915254237288131</c:v>
                </c:pt>
                <c:pt idx="20">
                  <c:v>-37.526315789473685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Pharol!$C$26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19"/>
              <c:layout>
                <c:manualLayout>
                  <c:x val="0"/>
                  <c:y val="2.1066990541695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1-44D6-8D72-950CBAF64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Pharol!$H$26:$AE$26</c:f>
              <c:numCache>
                <c:formatCode>#,##0</c:formatCode>
                <c:ptCount val="24"/>
                <c:pt idx="0">
                  <c:v>6120</c:v>
                </c:pt>
                <c:pt idx="1">
                  <c:v>8532</c:v>
                </c:pt>
                <c:pt idx="2">
                  <c:v>7632</c:v>
                </c:pt>
                <c:pt idx="3">
                  <c:v>6996</c:v>
                </c:pt>
                <c:pt idx="4">
                  <c:v>5481.3948558000011</c:v>
                </c:pt>
                <c:pt idx="5">
                  <c:v>6672.7962000000007</c:v>
                </c:pt>
                <c:pt idx="6">
                  <c:v>8292.0432456226408</c:v>
                </c:pt>
                <c:pt idx="7">
                  <c:v>6889.5562200000004</c:v>
                </c:pt>
                <c:pt idx="8">
                  <c:v>8024.4595554871794</c:v>
                </c:pt>
                <c:pt idx="9">
                  <c:v>8370.5844978028163</c:v>
                </c:pt>
                <c:pt idx="10">
                  <c:v>5262.1520146250004</c:v>
                </c:pt>
                <c:pt idx="11">
                  <c:v>6846.6625064743594</c:v>
                </c:pt>
                <c:pt idx="12">
                  <c:v>5999.6984934197526</c:v>
                </c:pt>
                <c:pt idx="13">
                  <c:v>3849.5812503846146</c:v>
                </c:pt>
                <c:pt idx="14">
                  <c:v>2599.3006905000002</c:v>
                </c:pt>
                <c:pt idx="15">
                  <c:v>2208.6057387692308</c:v>
                </c:pt>
                <c:pt idx="16">
                  <c:v>337.76888573559324</c:v>
                </c:pt>
                <c:pt idx="17">
                  <c:v>189.72245246582278</c:v>
                </c:pt>
                <c:pt idx="18">
                  <c:v>182.93471819999996</c:v>
                </c:pt>
                <c:pt idx="19">
                  <c:v>216.80023924731182</c:v>
                </c:pt>
                <c:pt idx="20">
                  <c:v>146.37244800000002</c:v>
                </c:pt>
                <c:pt idx="21">
                  <c:v>89.330243999999993</c:v>
                </c:pt>
                <c:pt idx="22">
                  <c:v>111.931872</c:v>
                </c:pt>
                <c:pt idx="23">
                  <c:v>67.356438999999995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Pharol!$C$5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639327485380121E-2"/>
                  <c:y val="-1.763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1-44D6-8D72-950CBAF64884}"/>
                </c:ext>
              </c:extLst>
            </c:dLbl>
            <c:dLbl>
              <c:idx val="1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1-44D6-8D72-950CBAF64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Pharol!$H$5:$AE$5</c:f>
              <c:numCache>
                <c:formatCode>#,##0</c:formatCode>
                <c:ptCount val="24"/>
                <c:pt idx="0">
                  <c:v>1200</c:v>
                </c:pt>
                <c:pt idx="1">
                  <c:v>1200</c:v>
                </c:pt>
                <c:pt idx="2">
                  <c:v>1200</c:v>
                </c:pt>
                <c:pt idx="3">
                  <c:v>1200</c:v>
                </c:pt>
                <c:pt idx="4">
                  <c:v>1257.2006550000001</c:v>
                </c:pt>
                <c:pt idx="5">
                  <c:v>1254.2850000000001</c:v>
                </c:pt>
                <c:pt idx="6">
                  <c:v>1368.3239679245282</c:v>
                </c:pt>
                <c:pt idx="7">
                  <c:v>1208.6940736842105</c:v>
                </c:pt>
                <c:pt idx="8">
                  <c:v>1223.2407858974359</c:v>
                </c:pt>
                <c:pt idx="9">
                  <c:v>1175.6438901408451</c:v>
                </c:pt>
                <c:pt idx="10">
                  <c:v>1087.2214906250001</c:v>
                </c:pt>
                <c:pt idx="11">
                  <c:v>1008.3449935897436</c:v>
                </c:pt>
                <c:pt idx="12">
                  <c:v>898.15845709876544</c:v>
                </c:pt>
                <c:pt idx="13">
                  <c:v>1084.3890846153845</c:v>
                </c:pt>
                <c:pt idx="14">
                  <c:v>869.33133461538466</c:v>
                </c:pt>
                <c:pt idx="15">
                  <c:v>876.43084871794872</c:v>
                </c:pt>
                <c:pt idx="16">
                  <c:v>490.23060338983055</c:v>
                </c:pt>
                <c:pt idx="17">
                  <c:v>878.3446873417721</c:v>
                </c:pt>
                <c:pt idx="18">
                  <c:v>883.74259999999992</c:v>
                </c:pt>
                <c:pt idx="19">
                  <c:v>867.20095698924729</c:v>
                </c:pt>
                <c:pt idx="20">
                  <c:v>896.89</c:v>
                </c:pt>
                <c:pt idx="21">
                  <c:v>896.89</c:v>
                </c:pt>
                <c:pt idx="22">
                  <c:v>896.89</c:v>
                </c:pt>
                <c:pt idx="23">
                  <c:v>896.89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'Benfica SAD'!$C$7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SAD'!$D$7:$S$7</c:f>
              <c:numCache>
                <c:formatCode>#,##0</c:formatCode>
                <c:ptCount val="16"/>
                <c:pt idx="0">
                  <c:v>8.1470000000000002</c:v>
                </c:pt>
                <c:pt idx="1">
                  <c:v>14.2</c:v>
                </c:pt>
                <c:pt idx="2">
                  <c:v>5.5</c:v>
                </c:pt>
                <c:pt idx="3">
                  <c:v>-31.8</c:v>
                </c:pt>
                <c:pt idx="4">
                  <c:v>-6</c:v>
                </c:pt>
                <c:pt idx="5">
                  <c:v>16.53</c:v>
                </c:pt>
                <c:pt idx="6">
                  <c:v>14</c:v>
                </c:pt>
                <c:pt idx="7">
                  <c:v>16</c:v>
                </c:pt>
                <c:pt idx="8">
                  <c:v>47.4</c:v>
                </c:pt>
                <c:pt idx="9">
                  <c:v>43.9</c:v>
                </c:pt>
                <c:pt idx="10">
                  <c:v>52.6</c:v>
                </c:pt>
                <c:pt idx="11">
                  <c:v>73.7</c:v>
                </c:pt>
                <c:pt idx="12">
                  <c:v>43.6</c:v>
                </c:pt>
                <c:pt idx="13">
                  <c:v>70</c:v>
                </c:pt>
                <c:pt idx="14">
                  <c:v>98.3</c:v>
                </c:pt>
                <c:pt idx="15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'Benfica SAD'!$C$28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'Benfica SAD'!$D$28:$S$28</c:f>
              <c:numCache>
                <c:formatCode>0.0</c:formatCode>
                <c:ptCount val="16"/>
                <c:pt idx="0">
                  <c:v>11.047011169755738</c:v>
                </c:pt>
                <c:pt idx="1">
                  <c:v>2.535211267605634</c:v>
                </c:pt>
                <c:pt idx="2">
                  <c:v>5.7272727272727275</c:v>
                </c:pt>
                <c:pt idx="3">
                  <c:v>-1.2028301886792452</c:v>
                </c:pt>
                <c:pt idx="4">
                  <c:v>-5.7883333333333331</c:v>
                </c:pt>
                <c:pt idx="5">
                  <c:v>0.96007259528130662</c:v>
                </c:pt>
                <c:pt idx="6">
                  <c:v>0.6735714285714286</c:v>
                </c:pt>
                <c:pt idx="7">
                  <c:v>1.2075</c:v>
                </c:pt>
                <c:pt idx="8">
                  <c:v>0.44156118143459916</c:v>
                </c:pt>
                <c:pt idx="9">
                  <c:v>0.54487471526195908</c:v>
                </c:pt>
                <c:pt idx="10">
                  <c:v>0.42851711026615968</c:v>
                </c:pt>
                <c:pt idx="11">
                  <c:v>0.35888738127544095</c:v>
                </c:pt>
                <c:pt idx="12">
                  <c:v>0.89151376146788985</c:v>
                </c:pt>
                <c:pt idx="13">
                  <c:v>1.4982857142857142</c:v>
                </c:pt>
                <c:pt idx="14">
                  <c:v>1.0786368260427264</c:v>
                </c:pt>
                <c:pt idx="15">
                  <c:v>2.9679867986798683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Pharol!$C$6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Pharol!$H$6:$AE$6</c:f>
              <c:numCache>
                <c:formatCode>#,##0</c:formatCode>
                <c:ptCount val="24"/>
                <c:pt idx="0">
                  <c:v>2934.8209999999999</c:v>
                </c:pt>
                <c:pt idx="1">
                  <c:v>2580.3290000000002</c:v>
                </c:pt>
                <c:pt idx="2">
                  <c:v>5330.7017370000003</c:v>
                </c:pt>
                <c:pt idx="3">
                  <c:v>5905.7363990000003</c:v>
                </c:pt>
                <c:pt idx="4">
                  <c:v>5583.4960719999999</c:v>
                </c:pt>
                <c:pt idx="5">
                  <c:v>5764.3530700000001</c:v>
                </c:pt>
                <c:pt idx="6">
                  <c:v>5967.3789999999999</c:v>
                </c:pt>
                <c:pt idx="7">
                  <c:v>6385.4182940000001</c:v>
                </c:pt>
                <c:pt idx="8">
                  <c:v>5765.2876189999997</c:v>
                </c:pt>
                <c:pt idx="9">
                  <c:v>6148.4091920000001</c:v>
                </c:pt>
                <c:pt idx="10">
                  <c:v>6720.8868599999996</c:v>
                </c:pt>
                <c:pt idx="11">
                  <c:v>6784.6806100000003</c:v>
                </c:pt>
                <c:pt idx="12">
                  <c:v>3742.2538380000001</c:v>
                </c:pt>
                <c:pt idx="13">
                  <c:v>6146.8447210000004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Pharol!$C$27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Pharol!$H$27:$AE$27</c:f>
              <c:numCache>
                <c:formatCode>0.0</c:formatCode>
                <c:ptCount val="24"/>
                <c:pt idx="0">
                  <c:v>2.0853060544407991</c:v>
                </c:pt>
                <c:pt idx="1">
                  <c:v>3.306555094330994</c:v>
                </c:pt>
                <c:pt idx="2">
                  <c:v>1.4317064387652494</c:v>
                </c:pt>
                <c:pt idx="3">
                  <c:v>1.1846109489723602</c:v>
                </c:pt>
                <c:pt idx="4">
                  <c:v>0.98171374800243638</c:v>
                </c:pt>
                <c:pt idx="5">
                  <c:v>1.1575967188283283</c:v>
                </c:pt>
                <c:pt idx="6">
                  <c:v>1.3895620247386065</c:v>
                </c:pt>
                <c:pt idx="7">
                  <c:v>1.0789514332167884</c:v>
                </c:pt>
                <c:pt idx="8">
                  <c:v>1.3918576289311022</c:v>
                </c:pt>
                <c:pt idx="9">
                  <c:v>1.3614228065194813</c:v>
                </c:pt>
                <c:pt idx="10">
                  <c:v>0.78295500642083427</c:v>
                </c:pt>
                <c:pt idx="11">
                  <c:v>1.0091355658485976</c:v>
                </c:pt>
                <c:pt idx="12">
                  <c:v>1.6032313020824411</c:v>
                </c:pt>
                <c:pt idx="13">
                  <c:v>0.62626948054063503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Pharol!$C$7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Pharol!$H$7:$AE$7</c:f>
              <c:numCache>
                <c:formatCode>#,##0</c:formatCode>
                <c:ptCount val="24"/>
                <c:pt idx="0">
                  <c:v>1032.873</c:v>
                </c:pt>
                <c:pt idx="1">
                  <c:v>1060.7649999999999</c:v>
                </c:pt>
                <c:pt idx="2">
                  <c:v>1805.7435190000001</c:v>
                </c:pt>
                <c:pt idx="3">
                  <c:v>2081.6266820000001</c:v>
                </c:pt>
                <c:pt idx="4">
                  <c:v>2157.00063</c:v>
                </c:pt>
                <c:pt idx="5">
                  <c:v>2236.3379650000002</c:v>
                </c:pt>
                <c:pt idx="6">
                  <c:v>2362.9495360000001</c:v>
                </c:pt>
                <c:pt idx="7">
                  <c:v>2495.5986590000002</c:v>
                </c:pt>
                <c:pt idx="8">
                  <c:v>2107.7899480000001</c:v>
                </c:pt>
                <c:pt idx="9">
                  <c:v>2038.7765219999999</c:v>
                </c:pt>
                <c:pt idx="10">
                  <c:v>2179.0017849999999</c:v>
                </c:pt>
                <c:pt idx="11">
                  <c:v>2494.6263549999999</c:v>
                </c:pt>
                <c:pt idx="12">
                  <c:v>1172.3242169999999</c:v>
                </c:pt>
                <c:pt idx="13">
                  <c:v>2069.5947470000001</c:v>
                </c:pt>
                <c:pt idx="14">
                  <c:v>147.54791900000001</c:v>
                </c:pt>
                <c:pt idx="15">
                  <c:v>345.50040999999999</c:v>
                </c:pt>
                <c:pt idx="16">
                  <c:v>25.806097000000001</c:v>
                </c:pt>
                <c:pt idx="17">
                  <c:v>-15.974085999999998</c:v>
                </c:pt>
                <c:pt idx="18">
                  <c:v>-7.0363620000000004</c:v>
                </c:pt>
                <c:pt idx="19">
                  <c:v>-1.9905049999999997</c:v>
                </c:pt>
                <c:pt idx="20">
                  <c:v>-17.03</c:v>
                </c:pt>
                <c:pt idx="21">
                  <c:v>8.23</c:v>
                </c:pt>
                <c:pt idx="22">
                  <c:v>-3.12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Pharol!$C$28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Pharol!$H$28:$AE$28</c:f>
              <c:numCache>
                <c:formatCode>0.0</c:formatCode>
                <c:ptCount val="24"/>
                <c:pt idx="0">
                  <c:v>5.9252202352080072</c:v>
                </c:pt>
                <c:pt idx="1">
                  <c:v>8.0432518041224981</c:v>
                </c:pt>
                <c:pt idx="2">
                  <c:v>4.226513854097349</c:v>
                </c:pt>
                <c:pt idx="3">
                  <c:v>3.3608331697969653</c:v>
                </c:pt>
                <c:pt idx="4">
                  <c:v>2.5412115228728518</c:v>
                </c:pt>
                <c:pt idx="5">
                  <c:v>2.9838049098272141</c:v>
                </c:pt>
                <c:pt idx="6">
                  <c:v>3.509191846584844</c:v>
                </c:pt>
                <c:pt idx="7">
                  <c:v>2.760682770506329</c:v>
                </c:pt>
                <c:pt idx="8">
                  <c:v>3.8070489723614429</c:v>
                </c:pt>
                <c:pt idx="9">
                  <c:v>4.1056900584628258</c:v>
                </c:pt>
                <c:pt idx="10">
                  <c:v>2.4149369912631808</c:v>
                </c:pt>
                <c:pt idx="11">
                  <c:v>2.7445643283418129</c:v>
                </c:pt>
                <c:pt idx="12">
                  <c:v>5.1177809060134374</c:v>
                </c:pt>
                <c:pt idx="13">
                  <c:v>1.8600652402915161</c:v>
                </c:pt>
                <c:pt idx="14">
                  <c:v>17.616654359591475</c:v>
                </c:pt>
                <c:pt idx="15">
                  <c:v>6.3924836985554689</c:v>
                </c:pt>
                <c:pt idx="16">
                  <c:v>13.088724177685345</c:v>
                </c:pt>
                <c:pt idx="17">
                  <c:v>-11.876889386085864</c:v>
                </c:pt>
                <c:pt idx="18">
                  <c:v>-25.99848020894888</c:v>
                </c:pt>
                <c:pt idx="19">
                  <c:v>-108.91720404988274</c:v>
                </c:pt>
                <c:pt idx="20">
                  <c:v>-8.5949763945977686</c:v>
                </c:pt>
                <c:pt idx="21">
                  <c:v>10.854221628189549</c:v>
                </c:pt>
                <c:pt idx="22">
                  <c:v>-35.875599999999999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Pharol!$C$32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3-4154-9EB4-5A5B18D091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Pharol!$H$32:$AA$32</c:f>
              <c:numCache>
                <c:formatCode>0.0%</c:formatCode>
                <c:ptCount val="20"/>
                <c:pt idx="0">
                  <c:v>0.3519373072497437</c:v>
                </c:pt>
                <c:pt idx="1">
                  <c:v>0.41109680199695459</c:v>
                </c:pt>
                <c:pt idx="2">
                  <c:v>0.33874405436463834</c:v>
                </c:pt>
                <c:pt idx="3">
                  <c:v>0.3524753800986572</c:v>
                </c:pt>
                <c:pt idx="4">
                  <c:v>0.38631721097053906</c:v>
                </c:pt>
                <c:pt idx="5">
                  <c:v>0.38795992158058423</c:v>
                </c:pt>
                <c:pt idx="6">
                  <c:v>0.39597778790319837</c:v>
                </c:pt>
                <c:pt idx="7">
                  <c:v>0.3908277491147239</c:v>
                </c:pt>
                <c:pt idx="8">
                  <c:v>0.36560013780641187</c:v>
                </c:pt>
                <c:pt idx="9">
                  <c:v>0.33159415034587369</c:v>
                </c:pt>
                <c:pt idx="10">
                  <c:v>0.32421343051741242</c:v>
                </c:pt>
                <c:pt idx="11">
                  <c:v>0.3676851569583317</c:v>
                </c:pt>
                <c:pt idx="12">
                  <c:v>0.31326688881867343</c:v>
                </c:pt>
                <c:pt idx="13">
                  <c:v>0.33669221217342021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Pharol!$C$33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3-4154-9EB4-5A5B18D091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Pharol!$H$33:$AE$33</c:f>
              <c:numCache>
                <c:formatCode>0.0%</c:formatCode>
                <c:ptCount val="24"/>
                <c:pt idx="0">
                  <c:v>0.18484261902173932</c:v>
                </c:pt>
                <c:pt idx="1">
                  <c:v>0.23129918704165242</c:v>
                </c:pt>
                <c:pt idx="2">
                  <c:v>0.15017076521908582</c:v>
                </c:pt>
                <c:pt idx="3">
                  <c:v>0.19035727859278601</c:v>
                </c:pt>
                <c:pt idx="4">
                  <c:v>0.22019487058752604</c:v>
                </c:pt>
                <c:pt idx="5">
                  <c:v>0.22172809758164241</c:v>
                </c:pt>
                <c:pt idx="6">
                  <c:v>0.23930321301864688</c:v>
                </c:pt>
                <c:pt idx="7">
                  <c:v>0.22488735081761585</c:v>
                </c:pt>
                <c:pt idx="8">
                  <c:v>0.16947569741012777</c:v>
                </c:pt>
                <c:pt idx="9">
                  <c:v>0.14893474952699601</c:v>
                </c:pt>
                <c:pt idx="10">
                  <c:v>0.13549695329940431</c:v>
                </c:pt>
                <c:pt idx="11">
                  <c:v>0.15574767210744203</c:v>
                </c:pt>
                <c:pt idx="12">
                  <c:v>0.1105634256550397</c:v>
                </c:pt>
                <c:pt idx="13">
                  <c:v>0.12103935787708667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Pharol!$C$35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3-4154-9EB4-5A5B18D09119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3-4154-9EB4-5A5B18D091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Pharol!$H$35:$AE$35</c:f>
              <c:numCache>
                <c:formatCode>0.0%</c:formatCode>
                <c:ptCount val="24"/>
                <c:pt idx="0">
                  <c:v>0.14999245269132258</c:v>
                </c:pt>
                <c:pt idx="1">
                  <c:v>0.19163602780885691</c:v>
                </c:pt>
                <c:pt idx="2">
                  <c:v>0.10136128574773418</c:v>
                </c:pt>
                <c:pt idx="3">
                  <c:v>5.2049471603922155E-2</c:v>
                </c:pt>
                <c:pt idx="4">
                  <c:v>7.0037803010385993E-2</c:v>
                </c:pt>
                <c:pt idx="5">
                  <c:v>4.1676021243438506E-2</c:v>
                </c:pt>
                <c:pt idx="6">
                  <c:v>0.12152935199859102</c:v>
                </c:pt>
                <c:pt idx="7">
                  <c:v>0.10789514332167884</c:v>
                </c:pt>
                <c:pt idx="8">
                  <c:v>0.16549526685461274</c:v>
                </c:pt>
                <c:pt idx="9">
                  <c:v>0.13575985851528538</c:v>
                </c:pt>
                <c:pt idx="10">
                  <c:v>0.10353124051845743</c:v>
                </c:pt>
                <c:pt idx="11">
                  <c:v>0.1159242623507962</c:v>
                </c:pt>
                <c:pt idx="12">
                  <c:v>1.5552303648943442</c:v>
                </c:pt>
                <c:pt idx="13">
                  <c:v>6.8801435890379625E-2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Pharol!$C$12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Pharol!$H$12:$AE$12</c:f>
              <c:numCache>
                <c:formatCode>#,##0</c:formatCode>
                <c:ptCount val="24"/>
                <c:pt idx="0">
                  <c:v>440.20100000000002</c:v>
                </c:pt>
                <c:pt idx="1">
                  <c:v>494.48399999999998</c:v>
                </c:pt>
                <c:pt idx="2">
                  <c:v>540.32678199999998</c:v>
                </c:pt>
                <c:pt idx="3">
                  <c:v>307.39045900000002</c:v>
                </c:pt>
                <c:pt idx="4">
                  <c:v>391.05579799999998</c:v>
                </c:pt>
                <c:pt idx="5">
                  <c:v>240.23530099999999</c:v>
                </c:pt>
                <c:pt idx="6">
                  <c:v>725.21170300000006</c:v>
                </c:pt>
                <c:pt idx="7">
                  <c:v>688.95562199999995</c:v>
                </c:pt>
                <c:pt idx="8">
                  <c:v>954.12781299999995</c:v>
                </c:pt>
                <c:pt idx="9">
                  <c:v>834.70716200000004</c:v>
                </c:pt>
                <c:pt idx="10">
                  <c:v>695.82175400000006</c:v>
                </c:pt>
                <c:pt idx="11">
                  <c:v>786.509095</c:v>
                </c:pt>
                <c:pt idx="12">
                  <c:v>5820.0668020000003</c:v>
                </c:pt>
                <c:pt idx="13">
                  <c:v>422.911743</c:v>
                </c:pt>
                <c:pt idx="14">
                  <c:v>226.02614700000001</c:v>
                </c:pt>
                <c:pt idx="15">
                  <c:v>341.80803100000003</c:v>
                </c:pt>
                <c:pt idx="16">
                  <c:v>-289.23605600000002</c:v>
                </c:pt>
                <c:pt idx="17">
                  <c:v>-693.89230299999997</c:v>
                </c:pt>
                <c:pt idx="18">
                  <c:v>-61.861981999999998</c:v>
                </c:pt>
                <c:pt idx="19">
                  <c:v>-806.49689000000001</c:v>
                </c:pt>
                <c:pt idx="20">
                  <c:v>-5.65</c:v>
                </c:pt>
                <c:pt idx="21">
                  <c:v>20.74</c:v>
                </c:pt>
                <c:pt idx="22">
                  <c:v>-14.32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Pharol!$C$36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val>
            <c:numRef>
              <c:f>Pharol!$H$36:$AE$36</c:f>
              <c:numCache>
                <c:formatCode>0.0</c:formatCode>
                <c:ptCount val="24"/>
                <c:pt idx="0">
                  <c:v>13.902739884734473</c:v>
                </c:pt>
                <c:pt idx="1">
                  <c:v>17.254349989079525</c:v>
                </c:pt>
                <c:pt idx="2">
                  <c:v>14.124785693114136</c:v>
                </c:pt>
                <c:pt idx="3">
                  <c:v>22.75932708763742</c:v>
                </c:pt>
                <c:pt idx="4">
                  <c:v>14.016912378831424</c:v>
                </c:pt>
                <c:pt idx="5">
                  <c:v>27.776085247355056</c:v>
                </c:pt>
                <c:pt idx="6">
                  <c:v>11.433962264150942</c:v>
                </c:pt>
                <c:pt idx="7">
                  <c:v>10.000000000000002</c:v>
                </c:pt>
                <c:pt idx="8">
                  <c:v>8.4102564102564106</c:v>
                </c:pt>
                <c:pt idx="9">
                  <c:v>10.028169014084506</c:v>
                </c:pt>
                <c:pt idx="10">
                  <c:v>7.5625</c:v>
                </c:pt>
                <c:pt idx="11">
                  <c:v>8.7051282051282062</c:v>
                </c:pt>
                <c:pt idx="12">
                  <c:v>1.0308641975308641</c:v>
                </c:pt>
                <c:pt idx="13">
                  <c:v>9.1025641025641004</c:v>
                </c:pt>
                <c:pt idx="14">
                  <c:v>11.5</c:v>
                </c:pt>
                <c:pt idx="15">
                  <c:v>6.4615384615384608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4.3071477338476374</c:v>
                </c:pt>
                <c:pt idx="2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Pharol!$C$38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6-490B-81D3-2E4D247123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Pharol!$H$38:$AE$38</c:f>
              <c:numCache>
                <c:formatCode>0%</c:formatCode>
                <c:ptCount val="24"/>
                <c:pt idx="0">
                  <c:v>0.25053943012532515</c:v>
                </c:pt>
                <c:pt idx="1">
                  <c:v>0.21639240602708695</c:v>
                </c:pt>
                <c:pt idx="2">
                  <c:v>0.18351540131977045</c:v>
                </c:pt>
                <c:pt idx="3">
                  <c:v>0.24088514668943034</c:v>
                </c:pt>
                <c:pt idx="4">
                  <c:v>0.45196171838676841</c:v>
                </c:pt>
                <c:pt idx="5">
                  <c:v>0.47327371848502775</c:v>
                </c:pt>
                <c:pt idx="6">
                  <c:v>0.63349750042766351</c:v>
                </c:pt>
                <c:pt idx="7">
                  <c:v>0.55614127735479368</c:v>
                </c:pt>
                <c:pt idx="8">
                  <c:v>0.31487727838078222</c:v>
                </c:pt>
                <c:pt idx="9">
                  <c:v>0.43986324415086397</c:v>
                </c:pt>
                <c:pt idx="10">
                  <c:v>0.76127040754142572</c:v>
                </c:pt>
                <c:pt idx="11">
                  <c:v>0.44310289338305264</c:v>
                </c:pt>
                <c:pt idx="12">
                  <c:v>8.976857787751133E-2</c:v>
                </c:pt>
                <c:pt idx="13">
                  <c:v>0.1987840458503817</c:v>
                </c:pt>
                <c:pt idx="14">
                  <c:v>5.8042345086231316E-2</c:v>
                </c:pt>
                <c:pt idx="15">
                  <c:v>0.18507478711945183</c:v>
                </c:pt>
                <c:pt idx="16">
                  <c:v>2.2838750859824865E-2</c:v>
                </c:pt>
                <c:pt idx="17">
                  <c:v>-5.3719510511294616E-2</c:v>
                </c:pt>
                <c:pt idx="18">
                  <c:v>-6.6070521874813049E-2</c:v>
                </c:pt>
                <c:pt idx="19">
                  <c:v>-7.9082991528939394E-3</c:v>
                </c:pt>
                <c:pt idx="20">
                  <c:v>-0.11648426812585501</c:v>
                </c:pt>
                <c:pt idx="21">
                  <c:v>6.2585551330798489E-2</c:v>
                </c:pt>
                <c:pt idx="22">
                  <c:v>-1.8863361547763E-2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Pharol!$C$39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B6-490B-81D3-2E4D24712301}"/>
                </c:ext>
              </c:extLst>
            </c:dLbl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6-490B-81D3-2E4D247123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Pharol!$H$39:$AE$39</c:f>
              <c:numCache>
                <c:formatCode>0%</c:formatCode>
                <c:ptCount val="24"/>
                <c:pt idx="0">
                  <c:v>0.20330280873137857</c:v>
                </c:pt>
                <c:pt idx="1">
                  <c:v>0.17928545996819528</c:v>
                </c:pt>
                <c:pt idx="2">
                  <c:v>0.12386803120531242</c:v>
                </c:pt>
                <c:pt idx="3">
                  <c:v>6.5865328056298869E-2</c:v>
                </c:pt>
                <c:pt idx="4">
                  <c:v>0.14375632691237289</c:v>
                </c:pt>
                <c:pt idx="5">
                  <c:v>8.8956545249212399E-2</c:v>
                </c:pt>
                <c:pt idx="6">
                  <c:v>0.3217196282011559</c:v>
                </c:pt>
                <c:pt idx="7">
                  <c:v>0.26682222281128276</c:v>
                </c:pt>
                <c:pt idx="8">
                  <c:v>0.30748183962904663</c:v>
                </c:pt>
                <c:pt idx="9">
                  <c:v>0.40095257810314838</c:v>
                </c:pt>
                <c:pt idx="10">
                  <c:v>0.58167558563917876</c:v>
                </c:pt>
                <c:pt idx="11">
                  <c:v>0.32980509670474523</c:v>
                </c:pt>
                <c:pt idx="12">
                  <c:v>1.2627215311153357</c:v>
                </c:pt>
                <c:pt idx="13">
                  <c:v>0.11299322820675979</c:v>
                </c:pt>
                <c:pt idx="14">
                  <c:v>8.908287657371991E-2</c:v>
                </c:pt>
                <c:pt idx="15">
                  <c:v>0.18309688423537326</c:v>
                </c:pt>
                <c:pt idx="16">
                  <c:v>-0.25698427209664604</c:v>
                </c:pt>
                <c:pt idx="17">
                  <c:v>-2.3181315214374956</c:v>
                </c:pt>
                <c:pt idx="18">
                  <c:v>-0.57405244872897343</c:v>
                </c:pt>
                <c:pt idx="19">
                  <c:v>-3.0811684405790327</c:v>
                </c:pt>
                <c:pt idx="20">
                  <c:v>-3.8645690834473327E-2</c:v>
                </c:pt>
                <c:pt idx="21">
                  <c:v>0.15771863117870721</c:v>
                </c:pt>
                <c:pt idx="22">
                  <c:v>-8.6577992744860943E-2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Pharol!$C$37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Pharol!$H$3:$AE$3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Pharol!$H$37:$AE$37</c:f>
              <c:numCache>
                <c:formatCode>0.0</c:formatCode>
                <c:ptCount val="24"/>
                <c:pt idx="0">
                  <c:v>2.8264660676282807</c:v>
                </c:pt>
                <c:pt idx="1">
                  <c:v>3.0934540742443484</c:v>
                </c:pt>
                <c:pt idx="2">
                  <c:v>1.749609395003012</c:v>
                </c:pt>
                <c:pt idx="3">
                  <c:v>1.4990505449678477</c:v>
                </c:pt>
                <c:pt idx="4">
                  <c:v>2.0150198382333766</c:v>
                </c:pt>
                <c:pt idx="5">
                  <c:v>2.4708645841523205</c:v>
                </c:pt>
                <c:pt idx="6">
                  <c:v>3.6785300884886878</c:v>
                </c:pt>
                <c:pt idx="7">
                  <c:v>2.6682222281128283</c:v>
                </c:pt>
                <c:pt idx="8">
                  <c:v>2.5860011127776232</c:v>
                </c:pt>
                <c:pt idx="9">
                  <c:v>4.0208202198512906</c:v>
                </c:pt>
                <c:pt idx="10">
                  <c:v>4.3989216163962892</c:v>
                </c:pt>
                <c:pt idx="11">
                  <c:v>2.870995649519513</c:v>
                </c:pt>
                <c:pt idx="12">
                  <c:v>1.3016944178781544</c:v>
                </c:pt>
                <c:pt idx="13">
                  <c:v>1.0285281029076849</c:v>
                </c:pt>
                <c:pt idx="14">
                  <c:v>1.024453080597779</c:v>
                </c:pt>
                <c:pt idx="15">
                  <c:v>1.1830875596747195</c:v>
                </c:pt>
                <c:pt idx="16">
                  <c:v>0.30010536182133746</c:v>
                </c:pt>
                <c:pt idx="17">
                  <c:v>0.63381823877278365</c:v>
                </c:pt>
                <c:pt idx="18">
                  <c:v>1.6975550983842496</c:v>
                </c:pt>
                <c:pt idx="19">
                  <c:v>0.82827108617715928</c:v>
                </c:pt>
                <c:pt idx="20">
                  <c:v>1.0011795348837211</c:v>
                </c:pt>
                <c:pt idx="21">
                  <c:v>0.67931744486692014</c:v>
                </c:pt>
                <c:pt idx="22">
                  <c:v>0.67673441354292618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Pharol!$C$45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Pharol!$H$45:$AE$45</c:f>
              <c:numCache>
                <c:formatCode>0.0</c:formatCode>
                <c:ptCount val="24"/>
                <c:pt idx="0">
                  <c:v>3.0073589722747691</c:v>
                </c:pt>
                <c:pt idx="1">
                  <c:v>1.7396625626069131</c:v>
                </c:pt>
                <c:pt idx="2">
                  <c:v>1.7746058936407672</c:v>
                </c:pt>
                <c:pt idx="3">
                  <c:v>2.5175992296604663</c:v>
                </c:pt>
                <c:pt idx="4">
                  <c:v>3.7377270369323612</c:v>
                </c:pt>
                <c:pt idx="5">
                  <c:v>3.6929020583380137</c:v>
                </c:pt>
                <c:pt idx="6">
                  <c:v>5.1790679628538951</c:v>
                </c:pt>
                <c:pt idx="7">
                  <c:v>5.445611400183588</c:v>
                </c:pt>
                <c:pt idx="8">
                  <c:v>3.5659284837051373</c:v>
                </c:pt>
                <c:pt idx="9">
                  <c:v>5.3032503931621653</c:v>
                </c:pt>
                <c:pt idx="10">
                  <c:v>10.464615575928159</c:v>
                </c:pt>
                <c:pt idx="11">
                  <c:v>5.2191365228185758</c:v>
                </c:pt>
                <c:pt idx="12">
                  <c:v>2.2912680587568439</c:v>
                </c:pt>
                <c:pt idx="13">
                  <c:v>5.1301040927315809</c:v>
                </c:pt>
                <c:pt idx="14">
                  <c:v>4.056270495761245</c:v>
                </c:pt>
                <c:pt idx="15">
                  <c:v>5.4389853528692909</c:v>
                </c:pt>
                <c:pt idx="16">
                  <c:v>5.8597341827513236E-2</c:v>
                </c:pt>
                <c:pt idx="17">
                  <c:v>3.277675889253167E-2</c:v>
                </c:pt>
                <c:pt idx="18">
                  <c:v>8.5969060752132523E-2</c:v>
                </c:pt>
                <c:pt idx="19">
                  <c:v>2.8103737981376688E-2</c:v>
                </c:pt>
                <c:pt idx="20">
                  <c:v>0.10533515731874146</c:v>
                </c:pt>
                <c:pt idx="21">
                  <c:v>9.5817490494296581E-2</c:v>
                </c:pt>
                <c:pt idx="22">
                  <c:v>0.10882708585247884</c:v>
                </c:pt>
                <c:pt idx="23">
                  <c:v>0.13046701260192736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Pharol!$C$41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Pharol!$H$41:$AE$41</c:f>
              <c:numCache>
                <c:formatCode>0.0</c:formatCode>
                <c:ptCount val="24"/>
                <c:pt idx="0">
                  <c:v>9.4674442705305104E-2</c:v>
                </c:pt>
                <c:pt idx="1">
                  <c:v>0.59389752256505146</c:v>
                </c:pt>
                <c:pt idx="2">
                  <c:v>0.55160650481858287</c:v>
                </c:pt>
                <c:pt idx="3">
                  <c:v>0.70943915442661443</c:v>
                </c:pt>
                <c:pt idx="4">
                  <c:v>0.78602062997229261</c:v>
                </c:pt>
                <c:pt idx="5">
                  <c:v>0.65241180408747768</c:v>
                </c:pt>
                <c:pt idx="6">
                  <c:v>0.97442066137414596</c:v>
                </c:pt>
                <c:pt idx="7">
                  <c:v>1.2466818111339522</c:v>
                </c:pt>
                <c:pt idx="8">
                  <c:v>0.55716377249523197</c:v>
                </c:pt>
                <c:pt idx="9">
                  <c:v>0.53184118098344457</c:v>
                </c:pt>
                <c:pt idx="10">
                  <c:v>0.64362115878503079</c:v>
                </c:pt>
                <c:pt idx="11">
                  <c:v>1.0884667357953368</c:v>
                </c:pt>
                <c:pt idx="12">
                  <c:v>3.2997250416101065</c:v>
                </c:pt>
                <c:pt idx="13">
                  <c:v>1.2379941761033291</c:v>
                </c:pt>
                <c:pt idx="14">
                  <c:v>1.3698842313141768</c:v>
                </c:pt>
                <c:pt idx="15">
                  <c:v>1.3136283804778306</c:v>
                </c:pt>
                <c:pt idx="16">
                  <c:v>7.6538526165372547</c:v>
                </c:pt>
                <c:pt idx="17">
                  <c:v>6.7540470869013634</c:v>
                </c:pt>
                <c:pt idx="18">
                  <c:v>3.2129628103409149</c:v>
                </c:pt>
                <c:pt idx="19">
                  <c:v>3.4736068086765557</c:v>
                </c:pt>
                <c:pt idx="20">
                  <c:v>2.3846911092706775</c:v>
                </c:pt>
                <c:pt idx="21">
                  <c:v>1.4552845528455283</c:v>
                </c:pt>
                <c:pt idx="22">
                  <c:v>1.1629213483146066</c:v>
                </c:pt>
                <c:pt idx="23">
                  <c:v>1.1502890173410403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Raize!$C$26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15</c:v>
              </c:pt>
              <c:pt idx="1">
                <c:v>16</c:v>
              </c:pt>
              <c:pt idx="2">
                <c:v>17</c:v>
              </c:pt>
              <c:pt idx="3">
                <c:v>18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Raize!$D$26:$J$26</c15:sqref>
                  </c15:fullRef>
                </c:ext>
              </c:extLst>
              <c:f>Raize!$D$26:$G$26</c:f>
              <c:numCache>
                <c:formatCode>#,##0</c:formatCode>
                <c:ptCount val="4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  <c:pt idx="3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Raize!$C$5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7812280701754406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D-4B74-B394-B75E7FA01531}"/>
                </c:ext>
              </c:extLst>
            </c:dLbl>
            <c:dLbl>
              <c:idx val="3"/>
              <c:layout>
                <c:manualLayout>
                  <c:x val="3.71345029239766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DD-4B74-B394-B75E7FA01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Raize!$D$3:$J$3</c15:sqref>
                  </c15:fullRef>
                </c:ext>
              </c:extLst>
              <c:f>Raize!$D$3:$G$3</c:f>
              <c:strCache>
                <c:ptCount val="4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Raize!$D$5:$J$5</c15:sqref>
                  </c15:fullRef>
                </c:ext>
              </c:extLst>
              <c:f>Raize!$D$5:$G$5</c:f>
              <c:numCache>
                <c:formatCode>#\ ##0.000</c:formatCode>
                <c:ptCount val="4"/>
                <c:pt idx="0">
                  <c:v>0.17499999999999999</c:v>
                </c:pt>
                <c:pt idx="1">
                  <c:v>0.17499999999999999</c:v>
                </c:pt>
                <c:pt idx="2">
                  <c:v>0.17499999999999999</c:v>
                </c:pt>
                <c:pt idx="3" formatCode="#,##0">
                  <c:v>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Raize!$C$6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4.08479532163742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01-4114-9AC8-3379AC605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Raize!$D$3:$J$3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Raize!$D$6:$J$6</c:f>
              <c:numCache>
                <c:formatCode>#,##0</c:formatCode>
                <c:ptCount val="7"/>
                <c:pt idx="0">
                  <c:v>17.891839999999998</c:v>
                </c:pt>
                <c:pt idx="1">
                  <c:v>95.032830000000004</c:v>
                </c:pt>
                <c:pt idx="2">
                  <c:v>271.81400000000002</c:v>
                </c:pt>
                <c:pt idx="3">
                  <c:v>474.47899999999998</c:v>
                </c:pt>
                <c:pt idx="4">
                  <c:v>573.76499999999999</c:v>
                </c:pt>
                <c:pt idx="5">
                  <c:v>565.72400000000005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Raize!$C$27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Raize!$D$27:$J$27</c:f>
              <c:numCache>
                <c:formatCode>0.0</c:formatCode>
                <c:ptCount val="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Raize!$C$7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-3.713450292397674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5-4410-A8C6-AE826663F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Raize!$D$3:$J$3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Raize!$D$7:$J$7</c:f>
              <c:numCache>
                <c:formatCode>#,##0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Raize!$C$28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Raize!$D$28:$J$28</c:f>
              <c:numCache>
                <c:formatCode>0.0</c:formatCode>
                <c:ptCount val="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Raize!$C$32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5-46AF-98D1-79F230144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Raize!$D$3:$J$3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Raize!$D$32:$J$32</c:f>
              <c:numCache>
                <c:formatCode>0.0%</c:formatCode>
                <c:ptCount val="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Raize!$C$33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5-46AF-98D1-79F230144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Raize!$D$3:$J$3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Raize!$D$33:$J$33</c:f>
              <c:numCache>
                <c:formatCode>0.0%</c:formatCode>
                <c:ptCount val="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Raize!$C$35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B5-46AF-98D1-79F2301441F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5-46AF-98D1-79F230144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Raize!$D$3:$J$3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Raize!$D$35:$J$35</c:f>
              <c:numCache>
                <c:formatCode>0.0%</c:formatCode>
                <c:ptCount val="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'Benfica SAD'!$C$32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8C-4770-ABF2-F796BA8C08ED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C-4770-ABF2-F796BA8C0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SAD'!$D$32:$S$32</c:f>
              <c:numCache>
                <c:formatCode>0.0%</c:formatCode>
                <c:ptCount val="16"/>
                <c:pt idx="0">
                  <c:v>0.15667307692307691</c:v>
                </c:pt>
                <c:pt idx="1">
                  <c:v>0.25044091710758376</c:v>
                </c:pt>
                <c:pt idx="2">
                  <c:v>0.1111111111111111</c:v>
                </c:pt>
                <c:pt idx="3">
                  <c:v>-0.67803837953091683</c:v>
                </c:pt>
                <c:pt idx="4">
                  <c:v>-9.0388671286532093E-2</c:v>
                </c:pt>
                <c:pt idx="5">
                  <c:v>0.19939686369119422</c:v>
                </c:pt>
                <c:pt idx="6">
                  <c:v>0.15367727771679474</c:v>
                </c:pt>
                <c:pt idx="7">
                  <c:v>0.18120045300113252</c:v>
                </c:pt>
                <c:pt idx="8">
                  <c:v>0.4514285714285714</c:v>
                </c:pt>
                <c:pt idx="9">
                  <c:v>0.43039215686274507</c:v>
                </c:pt>
                <c:pt idx="10">
                  <c:v>0.41721197699781876</c:v>
                </c:pt>
                <c:pt idx="11">
                  <c:v>0.5747260888213046</c:v>
                </c:pt>
                <c:pt idx="12">
                  <c:v>0.35872668482240561</c:v>
                </c:pt>
                <c:pt idx="13">
                  <c:v>0.48109965635738833</c:v>
                </c:pt>
                <c:pt idx="14">
                  <c:v>0.70214285714285707</c:v>
                </c:pt>
                <c:pt idx="15">
                  <c:v>0.32234042553191489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'Benfica SAD'!$C$33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C-4770-ABF2-F796BA8C08ED}"/>
                </c:ext>
              </c:extLst>
            </c:dLbl>
            <c:dLbl>
              <c:idx val="1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C-4770-ABF2-F796BA8C0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SAD'!$D$33:$S$33</c:f>
              <c:numCache>
                <c:formatCode>0.0%</c:formatCode>
                <c:ptCount val="16"/>
                <c:pt idx="0">
                  <c:v>-7.6652499999999998E-2</c:v>
                </c:pt>
                <c:pt idx="1">
                  <c:v>-1.3989876543209876E-2</c:v>
                </c:pt>
                <c:pt idx="2">
                  <c:v>8.0808080808080815E-2</c:v>
                </c:pt>
                <c:pt idx="3">
                  <c:v>-0.63752665245202556</c:v>
                </c:pt>
                <c:pt idx="4">
                  <c:v>-0.17023199758963545</c:v>
                </c:pt>
                <c:pt idx="5">
                  <c:v>8.8057901085645346E-2</c:v>
                </c:pt>
                <c:pt idx="6">
                  <c:v>5.598243688254665E-2</c:v>
                </c:pt>
                <c:pt idx="7">
                  <c:v>8.0407701019252542E-2</c:v>
                </c:pt>
                <c:pt idx="8">
                  <c:v>0.31904761904761902</c:v>
                </c:pt>
                <c:pt idx="9">
                  <c:v>0.29803921568627451</c:v>
                </c:pt>
                <c:pt idx="10">
                  <c:v>0.30155066428713068</c:v>
                </c:pt>
                <c:pt idx="11">
                  <c:v>0.49054470308418135</c:v>
                </c:pt>
                <c:pt idx="12">
                  <c:v>0.26660139376835801</c:v>
                </c:pt>
                <c:pt idx="13">
                  <c:v>0.22405498281786942</c:v>
                </c:pt>
                <c:pt idx="14">
                  <c:v>0.38571428571428573</c:v>
                </c:pt>
                <c:pt idx="15">
                  <c:v>-0.26702127659574471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'Benfica SAD'!$C$35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C-4770-ABF2-F796BA8C08ED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C-4770-ABF2-F796BA8C0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SAD'!$D$35:$S$35</c:f>
              <c:numCache>
                <c:formatCode>0.0%</c:formatCode>
                <c:ptCount val="16"/>
                <c:pt idx="0">
                  <c:v>-2.3461538461538461E-2</c:v>
                </c:pt>
                <c:pt idx="1">
                  <c:v>0.26984126984126983</c:v>
                </c:pt>
                <c:pt idx="2">
                  <c:v>2.443070707070707E-3</c:v>
                </c:pt>
                <c:pt idx="3">
                  <c:v>-0.74255545842217485</c:v>
                </c:pt>
                <c:pt idx="4">
                  <c:v>-0.28623079240735161</c:v>
                </c:pt>
                <c:pt idx="5">
                  <c:v>-9.2882991556091671E-2</c:v>
                </c:pt>
                <c:pt idx="6">
                  <c:v>-0.12843029637760703</c:v>
                </c:pt>
                <c:pt idx="7">
                  <c:v>-0.11778029445073614</c:v>
                </c:pt>
                <c:pt idx="8">
                  <c:v>0.13490476190476189</c:v>
                </c:pt>
                <c:pt idx="9">
                  <c:v>6.933333333333333E-2</c:v>
                </c:pt>
                <c:pt idx="10">
                  <c:v>0.16177672020622647</c:v>
                </c:pt>
                <c:pt idx="11">
                  <c:v>0.34730767731118645</c:v>
                </c:pt>
                <c:pt idx="12">
                  <c:v>0.16934203272969617</c:v>
                </c:pt>
                <c:pt idx="13">
                  <c:v>0.19243986254295534</c:v>
                </c:pt>
                <c:pt idx="14">
                  <c:v>0.29785714285714288</c:v>
                </c:pt>
                <c:pt idx="15">
                  <c:v>-0.18510638297872339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Raize!$C$12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Raize!$D$3:$J$3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Raize!$D$12:$J$12</c:f>
              <c:numCache>
                <c:formatCode>#\ ##0.0</c:formatCode>
                <c:ptCount val="7"/>
                <c:pt idx="0">
                  <c:v>-63.23516</c:v>
                </c:pt>
                <c:pt idx="1">
                  <c:v>-80</c:v>
                </c:pt>
                <c:pt idx="2">
                  <c:v>-20</c:v>
                </c:pt>
                <c:pt idx="3">
                  <c:v>-80</c:v>
                </c:pt>
                <c:pt idx="4" formatCode="#,##0">
                  <c:v>-7.8719999999999999</c:v>
                </c:pt>
                <c:pt idx="5" formatCode="#,##0">
                  <c:v>-78.055000000000007</c:v>
                </c:pt>
                <c:pt idx="6" formatCode="#,##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Raize!$C$36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DD-4B27-9128-E0538F1E0B13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Raize!$D$36:$J$36</c:f>
              <c:numCache>
                <c:formatCode>0.0</c:formatCode>
                <c:ptCount val="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Raize!$C$38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4-4E6B-B410-C885632B1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Raize!$D$3:$J$3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Raize!$D$38:$J$38</c:f>
              <c:numCache>
                <c:formatCode>0%</c:formatCode>
                <c:ptCount val="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Raize!$C$39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4-4E6B-B410-C885632B145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4-4E6B-B410-C885632B1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Raize!$D$3:$J$3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Raize!$D$39:$J$39</c:f>
              <c:numCache>
                <c:formatCode>0%</c:formatCode>
                <c:ptCount val="7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Raize!$C$37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Raize!$D$3:$J$3</c15:sqref>
                  </c15:fullRef>
                </c:ext>
              </c:extLst>
              <c:f>Raize!$D$3:$G$3</c:f>
              <c:strCache>
                <c:ptCount val="4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Raize!$D$37:$J$37</c15:sqref>
                  </c15:fullRef>
                </c:ext>
              </c:extLst>
              <c:f>Raize!$D$37:$G$37</c:f>
              <c:numCache>
                <c:formatCode>0.0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Raize!$C$41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Lit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Raize!$D$41:$J$41</c15:sqref>
                  </c15:fullRef>
                </c:ext>
              </c:extLst>
              <c:f>Raize!$D$41:$G$41</c:f>
              <c:numCache>
                <c:formatCode>0.0</c:formatCode>
                <c:ptCount val="4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Raize!$C$45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Lit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Raize!$D$45:$J$45</c15:sqref>
                  </c15:fullRef>
                </c:ext>
              </c:extLst>
              <c:f>Raize!$D$45:$G$45</c:f>
              <c:numCache>
                <c:formatCode>0.0</c:formatCode>
                <c:ptCount val="4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Ramada!$C$26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Ramada!$D$26:$R$26</c:f>
              <c:numCache>
                <c:formatCode>#,##0</c:formatCode>
                <c:ptCount val="15"/>
                <c:pt idx="0">
                  <c:v>29.478064999999997</c:v>
                </c:pt>
                <c:pt idx="1">
                  <c:v>16.020687500000001</c:v>
                </c:pt>
                <c:pt idx="2">
                  <c:v>23.079398399999999</c:v>
                </c:pt>
                <c:pt idx="3">
                  <c:v>18.71995648</c:v>
                </c:pt>
                <c:pt idx="4">
                  <c:v>16.15584789</c:v>
                </c:pt>
                <c:pt idx="5">
                  <c:v>18.335605144999999</c:v>
                </c:pt>
                <c:pt idx="6">
                  <c:v>35.379100019999996</c:v>
                </c:pt>
                <c:pt idx="7">
                  <c:v>66.656275399999998</c:v>
                </c:pt>
                <c:pt idx="8">
                  <c:v>135.71088728000001</c:v>
                </c:pt>
                <c:pt idx="9">
                  <c:v>131.09312552</c:v>
                </c:pt>
                <c:pt idx="10">
                  <c:v>297.01778301000002</c:v>
                </c:pt>
                <c:pt idx="11">
                  <c:v>211.55112750000001</c:v>
                </c:pt>
                <c:pt idx="12">
                  <c:v>149.73759999999999</c:v>
                </c:pt>
                <c:pt idx="13">
                  <c:v>123.072</c:v>
                </c:pt>
                <c:pt idx="14">
                  <c:v>184.08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Ramada!$C$5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Ramada!$D$5:$R$5</c:f>
              <c:numCache>
                <c:formatCode>#,##0</c:formatCode>
                <c:ptCount val="15"/>
                <c:pt idx="0">
                  <c:v>25.633099999999999</c:v>
                </c:pt>
                <c:pt idx="1">
                  <c:v>25.633099999999999</c:v>
                </c:pt>
                <c:pt idx="2">
                  <c:v>25.643775999999999</c:v>
                </c:pt>
                <c:pt idx="3">
                  <c:v>25.643775999999999</c:v>
                </c:pt>
                <c:pt idx="4">
                  <c:v>25.644203000000001</c:v>
                </c:pt>
                <c:pt idx="5">
                  <c:v>25.644203000000001</c:v>
                </c:pt>
                <c:pt idx="6">
                  <c:v>25.637028999999998</c:v>
                </c:pt>
                <c:pt idx="7">
                  <c:v>25.637028999999998</c:v>
                </c:pt>
                <c:pt idx="8">
                  <c:v>25.654232</c:v>
                </c:pt>
                <c:pt idx="9">
                  <c:v>25.654232</c:v>
                </c:pt>
                <c:pt idx="10">
                  <c:v>28.206817000000001</c:v>
                </c:pt>
                <c:pt idx="11">
                  <c:v>28.206817000000001</c:v>
                </c:pt>
                <c:pt idx="12">
                  <c:v>25.64</c:v>
                </c:pt>
                <c:pt idx="13">
                  <c:v>25.64</c:v>
                </c:pt>
                <c:pt idx="14">
                  <c:v>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Ramada!$C$6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Ramada!$D$6:$R$6</c:f>
              <c:numCache>
                <c:formatCode>#,##0</c:formatCode>
                <c:ptCount val="15"/>
                <c:pt idx="0">
                  <c:v>110.455</c:v>
                </c:pt>
                <c:pt idx="1">
                  <c:v>126.212</c:v>
                </c:pt>
                <c:pt idx="2">
                  <c:v>97.881</c:v>
                </c:pt>
                <c:pt idx="3">
                  <c:v>91.448999999999998</c:v>
                </c:pt>
                <c:pt idx="4">
                  <c:v>109.068</c:v>
                </c:pt>
                <c:pt idx="5">
                  <c:v>110.596</c:v>
                </c:pt>
                <c:pt idx="6">
                  <c:v>105.351</c:v>
                </c:pt>
                <c:pt idx="7">
                  <c:v>119.575</c:v>
                </c:pt>
                <c:pt idx="8">
                  <c:v>125.81</c:v>
                </c:pt>
                <c:pt idx="9">
                  <c:v>135.93</c:v>
                </c:pt>
                <c:pt idx="10">
                  <c:v>156.88999999999999</c:v>
                </c:pt>
                <c:pt idx="11">
                  <c:v>129.43</c:v>
                </c:pt>
                <c:pt idx="12">
                  <c:v>114.03</c:v>
                </c:pt>
                <c:pt idx="13">
                  <c:v>102.7</c:v>
                </c:pt>
                <c:pt idx="1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Ramada!$C$27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Ramada!$D$27:$R$27</c:f>
              <c:numCache>
                <c:formatCode>0.0</c:formatCode>
                <c:ptCount val="15"/>
                <c:pt idx="0">
                  <c:v>0.26687850255760265</c:v>
                </c:pt>
                <c:pt idx="1">
                  <c:v>0.1269347407536526</c:v>
                </c:pt>
                <c:pt idx="2">
                  <c:v>0.23579038219879239</c:v>
                </c:pt>
                <c:pt idx="3">
                  <c:v>0.20470378549792781</c:v>
                </c:pt>
                <c:pt idx="4">
                  <c:v>0.14812637886456156</c:v>
                </c:pt>
                <c:pt idx="5">
                  <c:v>0.16578904431444175</c:v>
                </c:pt>
                <c:pt idx="6">
                  <c:v>0.33582120739243099</c:v>
                </c:pt>
                <c:pt idx="7">
                  <c:v>0.55744323980765209</c:v>
                </c:pt>
                <c:pt idx="8">
                  <c:v>1.0786971407678245</c:v>
                </c:pt>
                <c:pt idx="9">
                  <c:v>0.96441643139851385</c:v>
                </c:pt>
                <c:pt idx="10">
                  <c:v>1.8931594302377464</c:v>
                </c:pt>
                <c:pt idx="11">
                  <c:v>1.6344829444487368</c:v>
                </c:pt>
                <c:pt idx="12">
                  <c:v>1.3131421555730947</c:v>
                </c:pt>
                <c:pt idx="13">
                  <c:v>1.1983641674780916</c:v>
                </c:pt>
                <c:pt idx="14">
                  <c:v>1.460952380952381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Ramada!$C$7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Ramada!$D$7:$R$7</c:f>
              <c:numCache>
                <c:formatCode>#,##0</c:formatCode>
                <c:ptCount val="15"/>
                <c:pt idx="0">
                  <c:v>13.17</c:v>
                </c:pt>
                <c:pt idx="1">
                  <c:v>11.34</c:v>
                </c:pt>
                <c:pt idx="2">
                  <c:v>8.7080000000000002</c:v>
                </c:pt>
                <c:pt idx="3">
                  <c:v>12.217000000000001</c:v>
                </c:pt>
                <c:pt idx="4">
                  <c:v>14.992000000000001</c:v>
                </c:pt>
                <c:pt idx="5">
                  <c:v>15.491</c:v>
                </c:pt>
                <c:pt idx="6">
                  <c:v>14.465999999999999</c:v>
                </c:pt>
                <c:pt idx="7">
                  <c:v>16.170000000000002</c:v>
                </c:pt>
                <c:pt idx="8">
                  <c:v>17.87</c:v>
                </c:pt>
                <c:pt idx="9">
                  <c:v>21.324999999999999</c:v>
                </c:pt>
                <c:pt idx="10">
                  <c:v>24.83</c:v>
                </c:pt>
                <c:pt idx="11">
                  <c:v>18.84</c:v>
                </c:pt>
                <c:pt idx="12">
                  <c:v>15.57</c:v>
                </c:pt>
                <c:pt idx="13">
                  <c:v>12.99</c:v>
                </c:pt>
                <c:pt idx="1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Ramada!$C$28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Ramada!$D$28:$R$28</c:f>
              <c:numCache>
                <c:formatCode>0.0</c:formatCode>
                <c:ptCount val="15"/>
                <c:pt idx="0">
                  <c:v>2.2382737281700833</c:v>
                </c:pt>
                <c:pt idx="1">
                  <c:v>1.4127590388007056</c:v>
                </c:pt>
                <c:pt idx="2">
                  <c:v>2.6503672944418923</c:v>
                </c:pt>
                <c:pt idx="3">
                  <c:v>1.5322875075714169</c:v>
                </c:pt>
                <c:pt idx="4">
                  <c:v>1.0776312626734257</c:v>
                </c:pt>
                <c:pt idx="5">
                  <c:v>1.1836295361822993</c:v>
                </c:pt>
                <c:pt idx="6">
                  <c:v>2.4456726130236413</c:v>
                </c:pt>
                <c:pt idx="7">
                  <c:v>4.1222186394557818</c:v>
                </c:pt>
                <c:pt idx="8">
                  <c:v>7.5943417616116395</c:v>
                </c:pt>
                <c:pt idx="9">
                  <c:v>6.1473915835873392</c:v>
                </c:pt>
                <c:pt idx="10">
                  <c:v>11.962053282722515</c:v>
                </c:pt>
                <c:pt idx="11">
                  <c:v>11.228828423566879</c:v>
                </c:pt>
                <c:pt idx="12">
                  <c:v>9.617058445728965</c:v>
                </c:pt>
                <c:pt idx="13">
                  <c:v>9.4743648960739026</c:v>
                </c:pt>
                <c:pt idx="14">
                  <c:v>10.226666666666667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Ramada!$C$32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9-4C6F-BA32-7CCEA940827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9-4C6F-BA32-7CCEA9408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Ramada!$D$32:$R$32</c:f>
              <c:numCache>
                <c:formatCode>0.0%</c:formatCode>
                <c:ptCount val="15"/>
                <c:pt idx="0">
                  <c:v>0.11923407722601964</c:v>
                </c:pt>
                <c:pt idx="1">
                  <c:v>8.9848825785186825E-2</c:v>
                </c:pt>
                <c:pt idx="2">
                  <c:v>8.8965171994564829E-2</c:v>
                </c:pt>
                <c:pt idx="3">
                  <c:v>0.13359358768275215</c:v>
                </c:pt>
                <c:pt idx="4">
                  <c:v>0.13745553232845564</c:v>
                </c:pt>
                <c:pt idx="5">
                  <c:v>0.14006835690260044</c:v>
                </c:pt>
                <c:pt idx="6">
                  <c:v>0.13731241279152548</c:v>
                </c:pt>
                <c:pt idx="7">
                  <c:v>0.13522893581434248</c:v>
                </c:pt>
                <c:pt idx="8">
                  <c:v>0.14203958349892695</c:v>
                </c:pt>
                <c:pt idx="9">
                  <c:v>0.15688221878908259</c:v>
                </c:pt>
                <c:pt idx="10">
                  <c:v>0.1582637516731468</c:v>
                </c:pt>
                <c:pt idx="11">
                  <c:v>0.14556130727033917</c:v>
                </c:pt>
                <c:pt idx="12">
                  <c:v>0.13654301499605367</c:v>
                </c:pt>
                <c:pt idx="13">
                  <c:v>0.12648490749756572</c:v>
                </c:pt>
                <c:pt idx="14">
                  <c:v>0.14285714285714285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Ramada!$C$33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0083625730994149E-2"/>
                  <c:y val="1.4111111111110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9-4C6F-BA32-7CCEA940827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9-4C6F-BA32-7CCEA9408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Ramada!$D$33:$R$33</c:f>
              <c:numCache>
                <c:formatCode>0.0%</c:formatCode>
                <c:ptCount val="15"/>
                <c:pt idx="0">
                  <c:v>0.10158888235027839</c:v>
                </c:pt>
                <c:pt idx="1">
                  <c:v>7.3439926472918582E-2</c:v>
                </c:pt>
                <c:pt idx="2">
                  <c:v>7.2210132712170902E-2</c:v>
                </c:pt>
                <c:pt idx="3">
                  <c:v>0.11850320943914094</c:v>
                </c:pt>
                <c:pt idx="4">
                  <c:v>0.12455532328455643</c:v>
                </c:pt>
                <c:pt idx="5">
                  <c:v>0.12903721653586026</c:v>
                </c:pt>
                <c:pt idx="6">
                  <c:v>0.12278953213543298</c:v>
                </c:pt>
                <c:pt idx="7">
                  <c:v>0.121856575371106</c:v>
                </c:pt>
                <c:pt idx="8">
                  <c:v>0.1229870439551705</c:v>
                </c:pt>
                <c:pt idx="9">
                  <c:v>0.12216582064297801</c:v>
                </c:pt>
                <c:pt idx="10">
                  <c:v>0.12046656893364778</c:v>
                </c:pt>
                <c:pt idx="11">
                  <c:v>0.1049215792320173</c:v>
                </c:pt>
                <c:pt idx="12">
                  <c:v>0.10567394545295099</c:v>
                </c:pt>
                <c:pt idx="13">
                  <c:v>9.5423563777994158E-2</c:v>
                </c:pt>
                <c:pt idx="14">
                  <c:v>0.11904761904761904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Ramada!$C$35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9-4C6F-BA32-7CCEA940827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9-4C6F-BA32-7CCEA9408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Ramada!$D$35:$R$35</c:f>
              <c:numCache>
                <c:formatCode>0.0%</c:formatCode>
                <c:ptCount val="15"/>
                <c:pt idx="0">
                  <c:v>6.6452401430446784E-2</c:v>
                </c:pt>
                <c:pt idx="1">
                  <c:v>2.1574810636072639E-2</c:v>
                </c:pt>
                <c:pt idx="2">
                  <c:v>1.8900501629529737E-2</c:v>
                </c:pt>
                <c:pt idx="3">
                  <c:v>5.5921879954947566E-2</c:v>
                </c:pt>
                <c:pt idx="4">
                  <c:v>5.8770675175120114E-2</c:v>
                </c:pt>
                <c:pt idx="5">
                  <c:v>5.5779594198705193E-2</c:v>
                </c:pt>
                <c:pt idx="6">
                  <c:v>5.90217463526687E-2</c:v>
                </c:pt>
                <c:pt idx="7">
                  <c:v>6.7639556763537514E-2</c:v>
                </c:pt>
                <c:pt idx="8">
                  <c:v>8.769573165885064E-2</c:v>
                </c:pt>
                <c:pt idx="9">
                  <c:v>0.10197160303097183</c:v>
                </c:pt>
                <c:pt idx="10">
                  <c:v>0.36145069794123275</c:v>
                </c:pt>
                <c:pt idx="11">
                  <c:v>0.53851502742795332</c:v>
                </c:pt>
                <c:pt idx="12">
                  <c:v>7.1297027098132071E-2</c:v>
                </c:pt>
                <c:pt idx="13">
                  <c:v>6.8052580331061346E-2</c:v>
                </c:pt>
                <c:pt idx="14">
                  <c:v>8.7301587301587297E-2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Ramada!$C$12</c:f>
              <c:strCache>
                <c:ptCount val="1"/>
                <c:pt idx="0">
                  <c:v>Resultado Líquido Ramada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Ramada!$D$12:$R$12</c:f>
              <c:numCache>
                <c:formatCode>#,##0</c:formatCode>
                <c:ptCount val="15"/>
                <c:pt idx="0">
                  <c:v>7.34</c:v>
                </c:pt>
                <c:pt idx="1">
                  <c:v>2.7229999999999999</c:v>
                </c:pt>
                <c:pt idx="2">
                  <c:v>1.85</c:v>
                </c:pt>
                <c:pt idx="3">
                  <c:v>5.1139999999999999</c:v>
                </c:pt>
                <c:pt idx="4">
                  <c:v>6.41</c:v>
                </c:pt>
                <c:pt idx="5">
                  <c:v>6.1689999999999996</c:v>
                </c:pt>
                <c:pt idx="6">
                  <c:v>6.218</c:v>
                </c:pt>
                <c:pt idx="7">
                  <c:v>8.0879999999999992</c:v>
                </c:pt>
                <c:pt idx="8">
                  <c:v>11.032999999999999</c:v>
                </c:pt>
                <c:pt idx="9">
                  <c:v>13.861000000000001</c:v>
                </c:pt>
                <c:pt idx="10">
                  <c:v>56.707999999999998</c:v>
                </c:pt>
                <c:pt idx="11">
                  <c:v>69.7</c:v>
                </c:pt>
                <c:pt idx="12">
                  <c:v>8.1300000000000008</c:v>
                </c:pt>
                <c:pt idx="13">
                  <c:v>6.9889999999999999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Ramada!$C$36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3.4507040658984849E-2"/>
                  <c:y val="-5.0767508794371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9-431B-A0CE-1D15A6AF8FA5}"/>
                </c:ext>
              </c:extLst>
            </c:dLbl>
            <c:dLbl>
              <c:idx val="4"/>
              <c:layout>
                <c:manualLayout>
                  <c:x val="-5.0582222303588678E-2"/>
                  <c:y val="-5.7292502114365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79-431B-A0CE-1D15A6AF8FA5}"/>
                </c:ext>
              </c:extLst>
            </c:dLbl>
            <c:dLbl>
              <c:idx val="5"/>
              <c:layout>
                <c:manualLayout>
                  <c:x val="1.7253520329492355E-2"/>
                  <c:y val="1.3538002345165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9-431B-A0CE-1D15A6AF8FA5}"/>
                </c:ext>
              </c:extLst>
            </c:dLbl>
            <c:dLbl>
              <c:idx val="8"/>
              <c:layout>
                <c:manualLayout>
                  <c:x val="-2.8755867215820709E-2"/>
                  <c:y val="-5.7536509966954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9-431B-A0CE-1D15A6AF8FA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18-45B0-9C42-C2CBC0C7B076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Ramada!$D$36:$R$36</c:f>
              <c:numCache>
                <c:formatCode>0.0</c:formatCode>
                <c:ptCount val="15"/>
                <c:pt idx="0">
                  <c:v>4.01608514986376</c:v>
                </c:pt>
                <c:pt idx="1">
                  <c:v>5.883469518912964</c:v>
                </c:pt>
                <c:pt idx="2">
                  <c:v>12.475350486486485</c:v>
                </c:pt>
                <c:pt idx="3">
                  <c:v>3.6605311849824016</c:v>
                </c:pt>
                <c:pt idx="4">
                  <c:v>2.5204130873634947</c:v>
                </c:pt>
                <c:pt idx="5">
                  <c:v>2.972216752309937</c:v>
                </c:pt>
                <c:pt idx="6">
                  <c:v>5.6897877163074941</c:v>
                </c:pt>
                <c:pt idx="7">
                  <c:v>8.2413792532146388</c:v>
                </c:pt>
                <c:pt idx="8">
                  <c:v>12.300452032991934</c:v>
                </c:pt>
                <c:pt idx="9">
                  <c:v>9.4576960911911119</c:v>
                </c:pt>
                <c:pt idx="10">
                  <c:v>5.2376698703886584</c:v>
                </c:pt>
                <c:pt idx="11">
                  <c:v>3.0351668220946917</c:v>
                </c:pt>
                <c:pt idx="12">
                  <c:v>18.417908979089788</c:v>
                </c:pt>
                <c:pt idx="13">
                  <c:v>17.609386178280154</c:v>
                </c:pt>
                <c:pt idx="14">
                  <c:v>16.734545454545454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165643274853804E-2"/>
          <c:y val="0.14082527777777776"/>
          <c:w val="0.92312383040935675"/>
          <c:h val="0.7773363888888889"/>
        </c:manualLayout>
      </c:layout>
      <c:lineChart>
        <c:grouping val="standard"/>
        <c:varyColors val="0"/>
        <c:ser>
          <c:idx val="0"/>
          <c:order val="0"/>
          <c:tx>
            <c:strRef>
              <c:f>Ramada!$C$38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D-4097-A005-9271AD16E8E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D-4097-A005-9271AD16E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Ramada!$D$38:$R$38</c:f>
              <c:numCache>
                <c:formatCode>0%</c:formatCode>
                <c:ptCount val="15"/>
                <c:pt idx="0">
                  <c:v>0.30011245457860447</c:v>
                </c:pt>
                <c:pt idx="1">
                  <c:v>0.2350188538671327</c:v>
                </c:pt>
                <c:pt idx="2">
                  <c:v>0.16988513428641103</c:v>
                </c:pt>
                <c:pt idx="3">
                  <c:v>0.23991938425311027</c:v>
                </c:pt>
                <c:pt idx="4">
                  <c:v>0.27118885781700935</c:v>
                </c:pt>
                <c:pt idx="5">
                  <c:v>0.27109776414916242</c:v>
                </c:pt>
                <c:pt idx="6">
                  <c:v>0.22806624943730525</c:v>
                </c:pt>
                <c:pt idx="7">
                  <c:v>0.23447620219421514</c:v>
                </c:pt>
                <c:pt idx="8">
                  <c:v>0.22190246290365331</c:v>
                </c:pt>
                <c:pt idx="9">
                  <c:v>0.21267508682076849</c:v>
                </c:pt>
                <c:pt idx="10">
                  <c:v>0.12930614167023075</c:v>
                </c:pt>
                <c:pt idx="11">
                  <c:v>0.10438124519600309</c:v>
                </c:pt>
                <c:pt idx="12">
                  <c:v>9.8127035830618894E-2</c:v>
                </c:pt>
                <c:pt idx="13">
                  <c:v>7.5558982266769478E-2</c:v>
                </c:pt>
                <c:pt idx="14">
                  <c:v>0.12048192771084337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Ramada!$C$39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D-4097-A005-9271AD16E8E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D-4097-A005-9271AD16E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Ramada!$D$39:$R$39</c:f>
              <c:numCache>
                <c:formatCode>0%</c:formatCode>
                <c:ptCount val="15"/>
                <c:pt idx="0">
                  <c:v>0.19631275435406442</c:v>
                </c:pt>
                <c:pt idx="1">
                  <c:v>6.9042651751019771E-2</c:v>
                </c:pt>
                <c:pt idx="2">
                  <c:v>4.4466256144575618E-2</c:v>
                </c:pt>
                <c:pt idx="3">
                  <c:v>0.11321839356559989</c:v>
                </c:pt>
                <c:pt idx="4">
                  <c:v>0.12795882065565184</c:v>
                </c:pt>
                <c:pt idx="5">
                  <c:v>0.11718885201010319</c:v>
                </c:pt>
                <c:pt idx="6">
                  <c:v>0.10962553641010854</c:v>
                </c:pt>
                <c:pt idx="7">
                  <c:v>0.13015191293300474</c:v>
                </c:pt>
                <c:pt idx="8">
                  <c:v>0.1582272263436959</c:v>
                </c:pt>
                <c:pt idx="9">
                  <c:v>0.17751953380842297</c:v>
                </c:pt>
                <c:pt idx="10">
                  <c:v>0.38797315776907115</c:v>
                </c:pt>
                <c:pt idx="11">
                  <c:v>0.53574173712528828</c:v>
                </c:pt>
                <c:pt idx="12">
                  <c:v>6.6205211726384369E-2</c:v>
                </c:pt>
                <c:pt idx="13">
                  <c:v>5.3885890516576718E-2</c:v>
                </c:pt>
                <c:pt idx="14">
                  <c:v>8.8353413654618476E-2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Ramada!$C$37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Ramada!$D$37:$R$37</c:f>
              <c:numCache>
                <c:formatCode>0.0</c:formatCode>
                <c:ptCount val="15"/>
                <c:pt idx="0">
                  <c:v>0.78840873749021034</c:v>
                </c:pt>
                <c:pt idx="1">
                  <c:v>0.40621033708204762</c:v>
                </c:pt>
                <c:pt idx="2">
                  <c:v>0.55473213022546408</c:v>
                </c:pt>
                <c:pt idx="3">
                  <c:v>0.41443946036048923</c:v>
                </c:pt>
                <c:pt idx="4">
                  <c:v>0.32250908622410313</c:v>
                </c:pt>
                <c:pt idx="5">
                  <c:v>0.34831066912839875</c:v>
                </c:pt>
                <c:pt idx="6">
                  <c:v>0.62374603045985544</c:v>
                </c:pt>
                <c:pt idx="7">
                  <c:v>1.0726312750122633</c:v>
                </c:pt>
                <c:pt idx="8">
                  <c:v>1.9462664079539893</c:v>
                </c:pt>
                <c:pt idx="9">
                  <c:v>1.6789258010099903</c:v>
                </c:pt>
                <c:pt idx="10">
                  <c:v>2.0320753189666094</c:v>
                </c:pt>
                <c:pt idx="11">
                  <c:v>1.6260655457340509</c:v>
                </c:pt>
                <c:pt idx="12">
                  <c:v>1.2193615635179151</c:v>
                </c:pt>
                <c:pt idx="13">
                  <c:v>0.94889745566692374</c:v>
                </c:pt>
                <c:pt idx="14">
                  <c:v>1.4785542168674699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Ramada!$C$41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Ramada!$D$41:$R$41</c:f>
              <c:numCache>
                <c:formatCode>0.0</c:formatCode>
                <c:ptCount val="15"/>
                <c:pt idx="0">
                  <c:v>1.1615148786972873</c:v>
                </c:pt>
                <c:pt idx="1">
                  <c:v>1.1606343496492986</c:v>
                </c:pt>
                <c:pt idx="2">
                  <c:v>1.1708771754668668</c:v>
                </c:pt>
                <c:pt idx="3">
                  <c:v>1.1111016999314538</c:v>
                </c:pt>
                <c:pt idx="4">
                  <c:v>1.0543894681128649</c:v>
                </c:pt>
                <c:pt idx="5">
                  <c:v>1.0547271484844785</c:v>
                </c:pt>
                <c:pt idx="6">
                  <c:v>0.96218828137320733</c:v>
                </c:pt>
                <c:pt idx="7">
                  <c:v>0.98855216082682029</c:v>
                </c:pt>
                <c:pt idx="8">
                  <c:v>1.084351536423841</c:v>
                </c:pt>
                <c:pt idx="9">
                  <c:v>1.0913477446458082</c:v>
                </c:pt>
                <c:pt idx="10">
                  <c:v>2.0038227845108976</c:v>
                </c:pt>
                <c:pt idx="11">
                  <c:v>2.2169230769230768</c:v>
                </c:pt>
                <c:pt idx="12">
                  <c:v>1.9690721649484535</c:v>
                </c:pt>
                <c:pt idx="13">
                  <c:v>1.9572953736654803</c:v>
                </c:pt>
                <c:pt idx="14">
                  <c:v>1.5528781793842035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Ramada!$C$45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Ramada!$D$3:$R$3</c:f>
              <c:strCache>
                <c:ptCount val="1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21*</c:v>
                </c:pt>
              </c:strCache>
            </c:strRef>
          </c:cat>
          <c:val>
            <c:numRef>
              <c:f>Ramada!$D$45:$R$45</c:f>
              <c:numCache>
                <c:formatCode>0.0</c:formatCode>
                <c:ptCount val="15"/>
                <c:pt idx="0">
                  <c:v>4.9701344111171002</c:v>
                </c:pt>
                <c:pt idx="1">
                  <c:v>3.9893016598203386</c:v>
                </c:pt>
                <c:pt idx="2">
                  <c:v>2.8694327466143035</c:v>
                </c:pt>
                <c:pt idx="3">
                  <c:v>3.1206580198129528</c:v>
                </c:pt>
                <c:pt idx="4">
                  <c:v>2.670812000125923</c:v>
                </c:pt>
                <c:pt idx="5">
                  <c:v>2.184373606494614</c:v>
                </c:pt>
                <c:pt idx="6">
                  <c:v>2.0531211005515289</c:v>
                </c:pt>
                <c:pt idx="7">
                  <c:v>1.9612124770691335</c:v>
                </c:pt>
                <c:pt idx="8">
                  <c:v>1.7912245599861887</c:v>
                </c:pt>
                <c:pt idx="9">
                  <c:v>1.7648215683428818</c:v>
                </c:pt>
                <c:pt idx="10">
                  <c:v>1.1493879259576065</c:v>
                </c:pt>
                <c:pt idx="11">
                  <c:v>0.98385857033051505</c:v>
                </c:pt>
                <c:pt idx="12">
                  <c:v>0.9104234527687296</c:v>
                </c:pt>
                <c:pt idx="13">
                  <c:v>0.75404780262143412</c:v>
                </c:pt>
                <c:pt idx="14">
                  <c:v>0.88915662650602412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'Benfica SAD'!$C$12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SAD'!$D$12:$S$12</c:f>
              <c:numCache>
                <c:formatCode>#,##0</c:formatCode>
                <c:ptCount val="16"/>
                <c:pt idx="0">
                  <c:v>-1.22</c:v>
                </c:pt>
                <c:pt idx="1">
                  <c:v>15.3</c:v>
                </c:pt>
                <c:pt idx="2">
                  <c:v>0.120932</c:v>
                </c:pt>
                <c:pt idx="3">
                  <c:v>-34.825851</c:v>
                </c:pt>
                <c:pt idx="4">
                  <c:v>-19</c:v>
                </c:pt>
                <c:pt idx="5">
                  <c:v>-7.7</c:v>
                </c:pt>
                <c:pt idx="6">
                  <c:v>-11.7</c:v>
                </c:pt>
                <c:pt idx="7">
                  <c:v>-10.4</c:v>
                </c:pt>
                <c:pt idx="8">
                  <c:v>14.164999999999999</c:v>
                </c:pt>
                <c:pt idx="9">
                  <c:v>7.0720000000000001</c:v>
                </c:pt>
                <c:pt idx="10">
                  <c:v>20.396000000000001</c:v>
                </c:pt>
                <c:pt idx="11">
                  <c:v>44.536999999999999</c:v>
                </c:pt>
                <c:pt idx="12">
                  <c:v>20.582000000000001</c:v>
                </c:pt>
                <c:pt idx="13">
                  <c:v>28</c:v>
                </c:pt>
                <c:pt idx="14">
                  <c:v>41.7</c:v>
                </c:pt>
                <c:pt idx="15">
                  <c:v>-17.399999999999999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'Benfica SAD'!$C$36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95-4F62-BFA2-A031521DA16A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'Benfica SAD'!$D$36:$S$36</c:f>
              <c:numCache>
                <c:formatCode>0.0</c:formatCode>
                <c:ptCount val="16"/>
                <c:pt idx="0">
                  <c:v>0</c:v>
                </c:pt>
                <c:pt idx="1">
                  <c:v>2.3529411764705883</c:v>
                </c:pt>
                <c:pt idx="2">
                  <c:v>260.47696225978234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1.4775855983056831</c:v>
                </c:pt>
                <c:pt idx="9">
                  <c:v>3.382352941176471</c:v>
                </c:pt>
                <c:pt idx="10">
                  <c:v>1.1051186507158266</c:v>
                </c:pt>
                <c:pt idx="11">
                  <c:v>0.59388822776567796</c:v>
                </c:pt>
                <c:pt idx="12">
                  <c:v>1.8885433874259059</c:v>
                </c:pt>
                <c:pt idx="13">
                  <c:v>3.7457142857142856</c:v>
                </c:pt>
                <c:pt idx="14">
                  <c:v>2.5426858513189448</c:v>
                </c:pt>
                <c:pt idx="15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Reditus!$C$26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Reditus!$I$26:$AF$26</c:f>
              <c:numCache>
                <c:formatCode>#,##0</c:formatCode>
                <c:ptCount val="24"/>
                <c:pt idx="0">
                  <c:v>3.68</c:v>
                </c:pt>
                <c:pt idx="1">
                  <c:v>4.32</c:v>
                </c:pt>
                <c:pt idx="2">
                  <c:v>16.576999999999998</c:v>
                </c:pt>
                <c:pt idx="3">
                  <c:v>11.57</c:v>
                </c:pt>
                <c:pt idx="4">
                  <c:v>6.8900000000000006</c:v>
                </c:pt>
                <c:pt idx="5">
                  <c:v>8.19</c:v>
                </c:pt>
                <c:pt idx="6">
                  <c:v>24.96</c:v>
                </c:pt>
                <c:pt idx="7">
                  <c:v>20.150000000000002</c:v>
                </c:pt>
                <c:pt idx="8">
                  <c:v>21.125</c:v>
                </c:pt>
                <c:pt idx="9">
                  <c:v>55.444999999999993</c:v>
                </c:pt>
                <c:pt idx="10">
                  <c:v>58.562000000000005</c:v>
                </c:pt>
                <c:pt idx="11">
                  <c:v>60.609000000000002</c:v>
                </c:pt>
                <c:pt idx="12">
                  <c:v>66.163000000000011</c:v>
                </c:pt>
                <c:pt idx="13">
                  <c:v>47.97</c:v>
                </c:pt>
                <c:pt idx="14">
                  <c:v>33.141999999999996</c:v>
                </c:pt>
                <c:pt idx="15">
                  <c:v>18.25</c:v>
                </c:pt>
                <c:pt idx="16">
                  <c:v>11.096</c:v>
                </c:pt>
                <c:pt idx="17">
                  <c:v>5.84</c:v>
                </c:pt>
                <c:pt idx="18">
                  <c:v>3.504</c:v>
                </c:pt>
                <c:pt idx="19">
                  <c:v>1.728</c:v>
                </c:pt>
                <c:pt idx="20">
                  <c:v>1.2435500000000002</c:v>
                </c:pt>
                <c:pt idx="21">
                  <c:v>0.73881500000000011</c:v>
                </c:pt>
                <c:pt idx="22">
                  <c:v>0.51800000000000013</c:v>
                </c:pt>
                <c:pt idx="23">
                  <c:v>0.47360000000000002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Reditus!$C$5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6-4D73-966C-E0603466A6D8}"/>
                </c:ext>
              </c:extLst>
            </c:dLbl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6-4D73-966C-E0603466A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Reditus!$I$5:$AF$5</c:f>
              <c:numCache>
                <c:formatCode>#,##0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5.5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8.9</c:v>
                </c:pt>
                <c:pt idx="11">
                  <c:v>8.9</c:v>
                </c:pt>
                <c:pt idx="12">
                  <c:v>10.9</c:v>
                </c:pt>
                <c:pt idx="13">
                  <c:v>12.3</c:v>
                </c:pt>
                <c:pt idx="14">
                  <c:v>14.6</c:v>
                </c:pt>
                <c:pt idx="15">
                  <c:v>14.6</c:v>
                </c:pt>
                <c:pt idx="16">
                  <c:v>14.6</c:v>
                </c:pt>
                <c:pt idx="17">
                  <c:v>14.6</c:v>
                </c:pt>
                <c:pt idx="18">
                  <c:v>14.6</c:v>
                </c:pt>
                <c:pt idx="19">
                  <c:v>14.4</c:v>
                </c:pt>
                <c:pt idx="20">
                  <c:v>14.63</c:v>
                </c:pt>
                <c:pt idx="21">
                  <c:v>14.63</c:v>
                </c:pt>
                <c:pt idx="22">
                  <c:v>14.8</c:v>
                </c:pt>
                <c:pt idx="23">
                  <c:v>14.8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Reditus!$C$6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Reditus!$I$6:$AF$6</c:f>
              <c:numCache>
                <c:formatCode>#,##0</c:formatCode>
                <c:ptCount val="24"/>
                <c:pt idx="0">
                  <c:v>10.325075</c:v>
                </c:pt>
                <c:pt idx="1">
                  <c:v>11.60736</c:v>
                </c:pt>
                <c:pt idx="2">
                  <c:v>12.781620999999999</c:v>
                </c:pt>
                <c:pt idx="3">
                  <c:v>23.055192000000002</c:v>
                </c:pt>
                <c:pt idx="4">
                  <c:v>16.18609</c:v>
                </c:pt>
                <c:pt idx="5">
                  <c:v>12.305823999999999</c:v>
                </c:pt>
                <c:pt idx="6">
                  <c:v>33.103358</c:v>
                </c:pt>
                <c:pt idx="7">
                  <c:v>22.936140000000002</c:v>
                </c:pt>
                <c:pt idx="8">
                  <c:v>27.766760999999999</c:v>
                </c:pt>
                <c:pt idx="9">
                  <c:v>32.183979000000001</c:v>
                </c:pt>
                <c:pt idx="10">
                  <c:v>62.565179999999998</c:v>
                </c:pt>
                <c:pt idx="11">
                  <c:v>107.20587</c:v>
                </c:pt>
                <c:pt idx="12">
                  <c:v>118.584</c:v>
                </c:pt>
                <c:pt idx="13">
                  <c:v>110.1118</c:v>
                </c:pt>
                <c:pt idx="14">
                  <c:v>130.21955</c:v>
                </c:pt>
                <c:pt idx="15">
                  <c:v>112.732874</c:v>
                </c:pt>
                <c:pt idx="16">
                  <c:v>120</c:v>
                </c:pt>
                <c:pt idx="17">
                  <c:v>58.4</c:v>
                </c:pt>
                <c:pt idx="18">
                  <c:v>44.9</c:v>
                </c:pt>
                <c:pt idx="19">
                  <c:v>42</c:v>
                </c:pt>
                <c:pt idx="20">
                  <c:v>32.4</c:v>
                </c:pt>
                <c:pt idx="21">
                  <c:v>24.4</c:v>
                </c:pt>
                <c:pt idx="22">
                  <c:v>23.51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Reditus!$C$27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Reditus!$I$27:$AF$27</c:f>
              <c:numCache>
                <c:formatCode>0.0</c:formatCode>
                <c:ptCount val="24"/>
                <c:pt idx="0">
                  <c:v>0.35641387592826201</c:v>
                </c:pt>
                <c:pt idx="1">
                  <c:v>0.37217765279960302</c:v>
                </c:pt>
                <c:pt idx="2">
                  <c:v>1.2969403489588682</c:v>
                </c:pt>
                <c:pt idx="3">
                  <c:v>0.50183923864091007</c:v>
                </c:pt>
                <c:pt idx="4">
                  <c:v>0.42567414366286116</c:v>
                </c:pt>
                <c:pt idx="5">
                  <c:v>0.66553852874866404</c:v>
                </c:pt>
                <c:pt idx="6">
                  <c:v>0.7540020562264409</c:v>
                </c:pt>
                <c:pt idx="7">
                  <c:v>0.87852620362449829</c:v>
                </c:pt>
                <c:pt idx="8">
                  <c:v>0.76080173701210596</c:v>
                </c:pt>
                <c:pt idx="9">
                  <c:v>1.7227515590909375</c:v>
                </c:pt>
                <c:pt idx="10">
                  <c:v>0.93601584779265412</c:v>
                </c:pt>
                <c:pt idx="11">
                  <c:v>0.56535150547260149</c:v>
                </c:pt>
                <c:pt idx="12">
                  <c:v>0.55794204951764159</c:v>
                </c:pt>
                <c:pt idx="13">
                  <c:v>0.43564813217112058</c:v>
                </c:pt>
                <c:pt idx="14">
                  <c:v>0.25450863560809417</c:v>
                </c:pt>
                <c:pt idx="15">
                  <c:v>0.16188711732834915</c:v>
                </c:pt>
                <c:pt idx="16">
                  <c:v>9.2466666666666669E-2</c:v>
                </c:pt>
                <c:pt idx="17">
                  <c:v>0.1</c:v>
                </c:pt>
                <c:pt idx="18">
                  <c:v>7.8040089086859693E-2</c:v>
                </c:pt>
                <c:pt idx="19">
                  <c:v>4.1142857142857141E-2</c:v>
                </c:pt>
                <c:pt idx="20">
                  <c:v>3.8381172839506178E-2</c:v>
                </c:pt>
                <c:pt idx="21">
                  <c:v>3.0279303278688531E-2</c:v>
                </c:pt>
                <c:pt idx="22">
                  <c:v>2.2033177371331352E-2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Reditus!$C$7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Reditus!$I$7:$AF$7</c:f>
              <c:numCache>
                <c:formatCode>#\ ##0.0</c:formatCode>
                <c:ptCount val="24"/>
                <c:pt idx="0">
                  <c:v>1.020265</c:v>
                </c:pt>
                <c:pt idx="1">
                  <c:v>0.84755000000000003</c:v>
                </c:pt>
                <c:pt idx="2" formatCode="#,##0">
                  <c:v>1.6695660000000001</c:v>
                </c:pt>
                <c:pt idx="3" formatCode="#,##0">
                  <c:v>2.2811780000000002</c:v>
                </c:pt>
                <c:pt idx="4" formatCode="#,##0">
                  <c:v>0.70221700000000009</c:v>
                </c:pt>
                <c:pt idx="5" formatCode="#,##0">
                  <c:v>-0.63529999999999998</c:v>
                </c:pt>
                <c:pt idx="6" formatCode="#,##0">
                  <c:v>12.155744</c:v>
                </c:pt>
                <c:pt idx="7" formatCode="#,##0">
                  <c:v>1.4626700000000001</c:v>
                </c:pt>
                <c:pt idx="8" formatCode="#,##0">
                  <c:v>2.8524660000000002</c:v>
                </c:pt>
                <c:pt idx="9" formatCode="#,##0">
                  <c:v>3.7734288999999999</c:v>
                </c:pt>
                <c:pt idx="10" formatCode="#,##0">
                  <c:v>7.2016150000000003</c:v>
                </c:pt>
                <c:pt idx="11" formatCode="#,##0">
                  <c:v>9.6617889999999989</c:v>
                </c:pt>
                <c:pt idx="12" formatCode="#,##0">
                  <c:v>10.655577000000001</c:v>
                </c:pt>
                <c:pt idx="13" formatCode="#,##0">
                  <c:v>-3.739662</c:v>
                </c:pt>
                <c:pt idx="14" formatCode="#,##0">
                  <c:v>15.306883000000001</c:v>
                </c:pt>
                <c:pt idx="15" formatCode="#,##0">
                  <c:v>10.592941</c:v>
                </c:pt>
                <c:pt idx="16" formatCode="#,##0">
                  <c:v>9.9</c:v>
                </c:pt>
                <c:pt idx="17" formatCode="#,##0">
                  <c:v>5.7</c:v>
                </c:pt>
                <c:pt idx="18" formatCode="#,##0">
                  <c:v>2.8</c:v>
                </c:pt>
                <c:pt idx="19" formatCode="#,##0">
                  <c:v>4.0999999999999996</c:v>
                </c:pt>
                <c:pt idx="20" formatCode="#,##0">
                  <c:v>3</c:v>
                </c:pt>
                <c:pt idx="21" formatCode="#,##0">
                  <c:v>3.3</c:v>
                </c:pt>
                <c:pt idx="22" formatCode="#,##0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Reditus!$C$28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Reditus!$I$28:$AF$28</c:f>
              <c:numCache>
                <c:formatCode>0.0</c:formatCode>
                <c:ptCount val="24"/>
                <c:pt idx="0">
                  <c:v>3.6069060489186637</c:v>
                </c:pt>
                <c:pt idx="1">
                  <c:v>5.0970444221579854</c:v>
                </c:pt>
                <c:pt idx="2">
                  <c:v>9.9289276374818343</c:v>
                </c:pt>
                <c:pt idx="3">
                  <c:v>5.0719409007100715</c:v>
                </c:pt>
                <c:pt idx="4">
                  <c:v>9.8117818281243547</c:v>
                </c:pt>
                <c:pt idx="5">
                  <c:v>-12.891547300487957</c:v>
                </c:pt>
                <c:pt idx="6">
                  <c:v>2.0533502515354058</c:v>
                </c:pt>
                <c:pt idx="7">
                  <c:v>13.776176444447483</c:v>
                </c:pt>
                <c:pt idx="8">
                  <c:v>7.4058726729783979</c:v>
                </c:pt>
                <c:pt idx="9">
                  <c:v>14.69353245267189</c:v>
                </c:pt>
                <c:pt idx="10">
                  <c:v>8.1317871060866214</c:v>
                </c:pt>
                <c:pt idx="11">
                  <c:v>6.2730618522097732</c:v>
                </c:pt>
                <c:pt idx="12">
                  <c:v>6.2092367217655138</c:v>
                </c:pt>
                <c:pt idx="13">
                  <c:v>-12.827362472865195</c:v>
                </c:pt>
                <c:pt idx="14">
                  <c:v>2.1651697474920266</c:v>
                </c:pt>
                <c:pt idx="15">
                  <c:v>1.7228454307448706</c:v>
                </c:pt>
                <c:pt idx="16">
                  <c:v>1.1208080808080807</c:v>
                </c:pt>
                <c:pt idx="17">
                  <c:v>1.0245614035087718</c:v>
                </c:pt>
                <c:pt idx="18">
                  <c:v>1.2514285714285716</c:v>
                </c:pt>
                <c:pt idx="19">
                  <c:v>0.42146341463414638</c:v>
                </c:pt>
                <c:pt idx="20">
                  <c:v>0.4145166666666667</c:v>
                </c:pt>
                <c:pt idx="21">
                  <c:v>0.22388333333333338</c:v>
                </c:pt>
                <c:pt idx="22">
                  <c:v>0.18905109489051097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Reditus!$C$32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B-4571-B0BD-DBC22D0ABF7A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6B-4571-B0BD-DBC22D0AB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Reditus!$I$32:$AF$32</c:f>
              <c:numCache>
                <c:formatCode>0.0%</c:formatCode>
                <c:ptCount val="24"/>
                <c:pt idx="0">
                  <c:v>9.8814294327159852E-2</c:v>
                </c:pt>
                <c:pt idx="1">
                  <c:v>7.301832630331101E-2</c:v>
                </c:pt>
                <c:pt idx="2">
                  <c:v>0.13062239914639936</c:v>
                </c:pt>
                <c:pt idx="3">
                  <c:v>9.8944220460189622E-2</c:v>
                </c:pt>
                <c:pt idx="4">
                  <c:v>4.338397970108903E-2</c:v>
                </c:pt>
                <c:pt idx="5">
                  <c:v>-5.1625961821004429E-2</c:v>
                </c:pt>
                <c:pt idx="6">
                  <c:v>0.36720576806739669</c:v>
                </c:pt>
                <c:pt idx="7">
                  <c:v>6.3771410533768974E-2</c:v>
                </c:pt>
                <c:pt idx="8">
                  <c:v>0.10272951893812894</c:v>
                </c:pt>
                <c:pt idx="9">
                  <c:v>0.11724556805111014</c:v>
                </c:pt>
                <c:pt idx="10">
                  <c:v>0.11510579846489694</c:v>
                </c:pt>
                <c:pt idx="11">
                  <c:v>9.0123693786543571E-2</c:v>
                </c:pt>
                <c:pt idx="12">
                  <c:v>8.9856785063752276E-2</c:v>
                </c:pt>
                <c:pt idx="13">
                  <c:v>-3.396240911509938E-2</c:v>
                </c:pt>
                <c:pt idx="14">
                  <c:v>0.11754673549401762</c:v>
                </c:pt>
                <c:pt idx="15">
                  <c:v>9.3964968905166035E-2</c:v>
                </c:pt>
                <c:pt idx="16">
                  <c:v>8.2500000000000004E-2</c:v>
                </c:pt>
                <c:pt idx="17">
                  <c:v>9.7602739726027399E-2</c:v>
                </c:pt>
                <c:pt idx="18">
                  <c:v>6.2360801781737189E-2</c:v>
                </c:pt>
                <c:pt idx="19">
                  <c:v>9.7619047619047605E-2</c:v>
                </c:pt>
                <c:pt idx="20">
                  <c:v>9.2592592592592601E-2</c:v>
                </c:pt>
                <c:pt idx="21">
                  <c:v>0.13524590163934427</c:v>
                </c:pt>
                <c:pt idx="22">
                  <c:v>0.11654615057422374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Reditus!$C$35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6B-4571-B0BD-DBC22D0ABF7A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6B-4571-B0BD-DBC22D0AB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Reditus!$I$35:$AF$35</c:f>
              <c:numCache>
                <c:formatCode>0.0%</c:formatCode>
                <c:ptCount val="24"/>
                <c:pt idx="0">
                  <c:v>1.5064781611755845E-2</c:v>
                </c:pt>
                <c:pt idx="1">
                  <c:v>0.44260150456262232</c:v>
                </c:pt>
                <c:pt idx="2">
                  <c:v>3.4968804035106348E-2</c:v>
                </c:pt>
                <c:pt idx="3">
                  <c:v>-2.6316761968410412E-2</c:v>
                </c:pt>
                <c:pt idx="4">
                  <c:v>-7.0872026536365484E-2</c:v>
                </c:pt>
                <c:pt idx="5">
                  <c:v>-0.24536520268776801</c:v>
                </c:pt>
                <c:pt idx="6">
                  <c:v>0.29303217516482766</c:v>
                </c:pt>
                <c:pt idx="7">
                  <c:v>0.11594780115573064</c:v>
                </c:pt>
                <c:pt idx="8">
                  <c:v>1.0314454754013262E-2</c:v>
                </c:pt>
                <c:pt idx="9">
                  <c:v>1.4034156559696984E-2</c:v>
                </c:pt>
                <c:pt idx="10">
                  <c:v>1.0009928845405703E-2</c:v>
                </c:pt>
                <c:pt idx="11">
                  <c:v>1.065105856610277E-2</c:v>
                </c:pt>
                <c:pt idx="12">
                  <c:v>2.2651200836537812E-3</c:v>
                </c:pt>
                <c:pt idx="13">
                  <c:v>-0.12660624928481778</c:v>
                </c:pt>
                <c:pt idx="14">
                  <c:v>2.2370680900064546E-3</c:v>
                </c:pt>
                <c:pt idx="15">
                  <c:v>4.8232248563094384E-3</c:v>
                </c:pt>
                <c:pt idx="16">
                  <c:v>3.4826749999999997E-3</c:v>
                </c:pt>
                <c:pt idx="17">
                  <c:v>6.8493150684931512E-3</c:v>
                </c:pt>
                <c:pt idx="18">
                  <c:v>6.6815144766146995E-3</c:v>
                </c:pt>
                <c:pt idx="19">
                  <c:v>-6.9047619047619052E-2</c:v>
                </c:pt>
                <c:pt idx="20">
                  <c:v>-4.938271604938272E-2</c:v>
                </c:pt>
                <c:pt idx="21">
                  <c:v>2.0491803278688526E-3</c:v>
                </c:pt>
                <c:pt idx="22">
                  <c:v>-4.5087196937473414E-2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Reditus!$C$33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B-4571-B0BD-DBC22D0ABF7A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B-4571-B0BD-DBC22D0AB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Reditus!$I$33:$AF$33</c:f>
              <c:numCache>
                <c:formatCode>0.0%</c:formatCode>
                <c:ptCount val="24"/>
                <c:pt idx="0">
                  <c:v>7.1189797652801562E-2</c:v>
                </c:pt>
                <c:pt idx="1">
                  <c:v>4.1310857938411487E-2</c:v>
                </c:pt>
                <c:pt idx="2">
                  <c:v>7.6906598936081733E-2</c:v>
                </c:pt>
                <c:pt idx="3">
                  <c:v>3.8594386895585163E-2</c:v>
                </c:pt>
                <c:pt idx="4">
                  <c:v>-7.3199951316222756E-2</c:v>
                </c:pt>
                <c:pt idx="5">
                  <c:v>-0.17974546036088279</c:v>
                </c:pt>
                <c:pt idx="6">
                  <c:v>0.34482199660831991</c:v>
                </c:pt>
                <c:pt idx="7">
                  <c:v>3.7564080093686204E-2</c:v>
                </c:pt>
                <c:pt idx="8">
                  <c:v>6.0385040948780458E-2</c:v>
                </c:pt>
                <c:pt idx="9">
                  <c:v>7.0595525183508229E-2</c:v>
                </c:pt>
                <c:pt idx="10">
                  <c:v>7.6092372786268667E-2</c:v>
                </c:pt>
                <c:pt idx="11">
                  <c:v>6.276847527099029E-2</c:v>
                </c:pt>
                <c:pt idx="12">
                  <c:v>5.4813465560277948E-2</c:v>
                </c:pt>
                <c:pt idx="13">
                  <c:v>-7.6633794016626747E-2</c:v>
                </c:pt>
                <c:pt idx="14">
                  <c:v>8.2558840051282625E-2</c:v>
                </c:pt>
                <c:pt idx="15">
                  <c:v>5.9371022511144358E-2</c:v>
                </c:pt>
                <c:pt idx="16">
                  <c:v>5.4166666666666669E-2</c:v>
                </c:pt>
                <c:pt idx="17">
                  <c:v>4.6232876712328771E-2</c:v>
                </c:pt>
                <c:pt idx="18">
                  <c:v>0</c:v>
                </c:pt>
                <c:pt idx="19">
                  <c:v>2.6190476190476191E-2</c:v>
                </c:pt>
                <c:pt idx="20">
                  <c:v>-6.17283950617284E-3</c:v>
                </c:pt>
                <c:pt idx="21">
                  <c:v>6.5573770491803282E-2</c:v>
                </c:pt>
                <c:pt idx="22">
                  <c:v>5.4019566142067203E-2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Reditus!$C$12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Reditus!$I$12:$AF$12</c:f>
              <c:numCache>
                <c:formatCode>#\ ##0.0</c:formatCode>
                <c:ptCount val="24"/>
                <c:pt idx="0">
                  <c:v>0.15554499999999999</c:v>
                </c:pt>
                <c:pt idx="1">
                  <c:v>5.137435</c:v>
                </c:pt>
                <c:pt idx="2">
                  <c:v>0.44695800000000002</c:v>
                </c:pt>
                <c:pt idx="3">
                  <c:v>-0.606738</c:v>
                </c:pt>
                <c:pt idx="4" formatCode="#,##0">
                  <c:v>-1.147141</c:v>
                </c:pt>
                <c:pt idx="5" formatCode="#,##0">
                  <c:v>-3.0194209999999999</c:v>
                </c:pt>
                <c:pt idx="6" formatCode="#,##0">
                  <c:v>9.7003489999999992</c:v>
                </c:pt>
                <c:pt idx="7" formatCode="#,##0">
                  <c:v>2.659395</c:v>
                </c:pt>
                <c:pt idx="8" formatCode="#,##0.00">
                  <c:v>0.28639900000000001</c:v>
                </c:pt>
                <c:pt idx="9" formatCode="#,##0.00">
                  <c:v>0.45167499999999999</c:v>
                </c:pt>
                <c:pt idx="10" formatCode="#,##0">
                  <c:v>0.62627299999999997</c:v>
                </c:pt>
                <c:pt idx="11" formatCode="#,##0">
                  <c:v>1.141856</c:v>
                </c:pt>
                <c:pt idx="12" formatCode="#,##0.00">
                  <c:v>0.26860699999999998</c:v>
                </c:pt>
                <c:pt idx="13" formatCode="#,##0">
                  <c:v>-13.940842</c:v>
                </c:pt>
                <c:pt idx="14" formatCode="#,##0">
                  <c:v>0.29131000000000001</c:v>
                </c:pt>
                <c:pt idx="15" formatCode="#,##0">
                  <c:v>0.543736</c:v>
                </c:pt>
                <c:pt idx="16" formatCode="#,##0.00">
                  <c:v>0.41792099999999999</c:v>
                </c:pt>
                <c:pt idx="17" formatCode="#,##0.00">
                  <c:v>0.4</c:v>
                </c:pt>
                <c:pt idx="18" formatCode="#,##0">
                  <c:v>0.3</c:v>
                </c:pt>
                <c:pt idx="19" formatCode="#,##0">
                  <c:v>-2.9</c:v>
                </c:pt>
                <c:pt idx="20" formatCode="#,##0">
                  <c:v>-1.6</c:v>
                </c:pt>
                <c:pt idx="21" formatCode="#,##0">
                  <c:v>0.05</c:v>
                </c:pt>
                <c:pt idx="22" formatCode="#,##0">
                  <c:v>-1.06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Reditus!$C$36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Reditus!$I$36:$AF$36</c:f>
              <c:numCache>
                <c:formatCode>0.0</c:formatCode>
                <c:ptCount val="24"/>
                <c:pt idx="0">
                  <c:v>23.658748272204189</c:v>
                </c:pt>
                <c:pt idx="1">
                  <c:v>0.84088655136269375</c:v>
                </c:pt>
                <c:pt idx="2">
                  <c:v>37.08849601081085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2.5731032976236219</c:v>
                </c:pt>
                <c:pt idx="7">
                  <c:v>7.5769112899738484</c:v>
                </c:pt>
                <c:pt idx="8">
                  <c:v>73.760732404791909</c:v>
                </c:pt>
                <c:pt idx="9">
                  <c:v>122.75419272707144</c:v>
                </c:pt>
                <c:pt idx="10">
                  <c:v>93.508741395525604</c:v>
                </c:pt>
                <c:pt idx="11">
                  <c:v>53.079372530336578</c:v>
                </c:pt>
                <c:pt idx="12">
                  <c:v>246.31897158301911</c:v>
                </c:pt>
                <c:pt idx="13">
                  <c:v>0</c:v>
                </c:pt>
                <c:pt idx="14">
                  <c:v>113.76883732106688</c:v>
                </c:pt>
                <c:pt idx="15">
                  <c:v>33.564082569482252</c:v>
                </c:pt>
                <c:pt idx="16">
                  <c:v>26.550472457713301</c:v>
                </c:pt>
                <c:pt idx="17">
                  <c:v>14.6</c:v>
                </c:pt>
                <c:pt idx="18">
                  <c:v>11.68</c:v>
                </c:pt>
                <c:pt idx="19">
                  <c:v>0</c:v>
                </c:pt>
                <c:pt idx="20">
                  <c:v>0</c:v>
                </c:pt>
                <c:pt idx="21">
                  <c:v>14.776300000000001</c:v>
                </c:pt>
                <c:pt idx="2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Reditus!$C$38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9-4715-A0E5-97431922997B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79-4715-A0E5-974319229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Reditus!$I$38:$AF$38</c:f>
              <c:numCache>
                <c:formatCode>0%</c:formatCode>
                <c:ptCount val="24"/>
                <c:pt idx="0">
                  <c:v>7.7055527804262364E-2</c:v>
                </c:pt>
                <c:pt idx="1">
                  <c:v>3.7577018547143674E-2</c:v>
                </c:pt>
                <c:pt idx="2">
                  <c:v>2.5569794133439544E-2</c:v>
                </c:pt>
                <c:pt idx="3">
                  <c:v>2.6573513535677856E-2</c:v>
                </c:pt>
                <c:pt idx="4">
                  <c:v>-4.2356828289112254E-2</c:v>
                </c:pt>
                <c:pt idx="5">
                  <c:v>-8.5523999189115088E-2</c:v>
                </c:pt>
                <c:pt idx="6">
                  <c:v>3.7870697531834931</c:v>
                </c:pt>
                <c:pt idx="7">
                  <c:v>0.27375747485082075</c:v>
                </c:pt>
                <c:pt idx="8">
                  <c:v>1.7250022376612275</c:v>
                </c:pt>
                <c:pt idx="9">
                  <c:v>0.99169078191003213</c:v>
                </c:pt>
                <c:pt idx="10">
                  <c:v>0.23653774578561843</c:v>
                </c:pt>
                <c:pt idx="11">
                  <c:v>0.32764738851726749</c:v>
                </c:pt>
                <c:pt idx="12">
                  <c:v>0.22239445056732482</c:v>
                </c:pt>
                <c:pt idx="13">
                  <c:v>-0.2429746195407422</c:v>
                </c:pt>
                <c:pt idx="14">
                  <c:v>0.31370648836272225</c:v>
                </c:pt>
                <c:pt idx="15">
                  <c:v>0.1914753595985082</c:v>
                </c:pt>
                <c:pt idx="16">
                  <c:v>0.18518518518518517</c:v>
                </c:pt>
                <c:pt idx="17">
                  <c:v>7.6704545454545456E-2</c:v>
                </c:pt>
                <c:pt idx="18">
                  <c:v>0</c:v>
                </c:pt>
                <c:pt idx="19">
                  <c:v>3.5714285714285719E-2</c:v>
                </c:pt>
                <c:pt idx="20">
                  <c:v>-7.5187969924812026E-3</c:v>
                </c:pt>
                <c:pt idx="21">
                  <c:v>0.10457516339869281</c:v>
                </c:pt>
                <c:pt idx="22">
                  <c:v>8.4666666666666668E-2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Reditus!$C$39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79-4715-A0E5-97431922997B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79-4715-A0E5-974319229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Reditus!$I$39:$AF$39</c:f>
              <c:numCache>
                <c:formatCode>0%</c:formatCode>
                <c:ptCount val="24"/>
                <c:pt idx="0">
                  <c:v>1.630605419067532E-2</c:v>
                </c:pt>
                <c:pt idx="1">
                  <c:v>0.4025974229520658</c:v>
                </c:pt>
                <c:pt idx="2">
                  <c:v>1.1626377094290662E-2</c:v>
                </c:pt>
                <c:pt idx="3">
                  <c:v>-1.8119962166383397E-2</c:v>
                </c:pt>
                <c:pt idx="4">
                  <c:v>-4.1009784904555646E-2</c:v>
                </c:pt>
                <c:pt idx="5">
                  <c:v>-0.11674627750583524</c:v>
                </c:pt>
                <c:pt idx="6">
                  <c:v>3.2182787008707616</c:v>
                </c:pt>
                <c:pt idx="7">
                  <c:v>0.84499812532965601</c:v>
                </c:pt>
                <c:pt idx="8">
                  <c:v>0.29465008636857937</c:v>
                </c:pt>
                <c:pt idx="9">
                  <c:v>0.19714484248053976</c:v>
                </c:pt>
                <c:pt idx="10">
                  <c:v>3.1116469599617662E-2</c:v>
                </c:pt>
                <c:pt idx="11">
                  <c:v>5.559783807176405E-2</c:v>
                </c:pt>
                <c:pt idx="12">
                  <c:v>9.1902624897749873E-3</c:v>
                </c:pt>
                <c:pt idx="13">
                  <c:v>-0.40141696814312383</c:v>
                </c:pt>
                <c:pt idx="14">
                  <c:v>8.5003952854510127E-3</c:v>
                </c:pt>
                <c:pt idx="15">
                  <c:v>1.5555209843538739E-2</c:v>
                </c:pt>
                <c:pt idx="16">
                  <c:v>1.1906581196581195E-2</c:v>
                </c:pt>
                <c:pt idx="17">
                  <c:v>1.1363636363636364E-2</c:v>
                </c:pt>
                <c:pt idx="18">
                  <c:v>9.3167701863354022E-3</c:v>
                </c:pt>
                <c:pt idx="19">
                  <c:v>-9.4155844155844146E-2</c:v>
                </c:pt>
                <c:pt idx="20">
                  <c:v>-6.0150375939849621E-2</c:v>
                </c:pt>
                <c:pt idx="21">
                  <c:v>3.2679738562091504E-3</c:v>
                </c:pt>
                <c:pt idx="22">
                  <c:v>-7.0666666666666669E-2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Reditus!$C$37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Reditus!$I$3:$AF$3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Reditus!$I$37:$AF$37</c:f>
              <c:numCache>
                <c:formatCode>0.0</c:formatCode>
                <c:ptCount val="24"/>
                <c:pt idx="0">
                  <c:v>0.38578083141010761</c:v>
                </c:pt>
                <c:pt idx="1">
                  <c:v>0.33853875857367038</c:v>
                </c:pt>
                <c:pt idx="2">
                  <c:v>0.43120484048178193</c:v>
                </c:pt>
                <c:pt idx="3">
                  <c:v>0.34553293557524978</c:v>
                </c:pt>
                <c:pt idx="4">
                  <c:v>0.24631446177269267</c:v>
                </c:pt>
                <c:pt idx="5">
                  <c:v>0.3166673387953487</c:v>
                </c:pt>
                <c:pt idx="6">
                  <c:v>8.2809635378824229</c:v>
                </c:pt>
                <c:pt idx="7">
                  <c:v>6.4024758358170075</c:v>
                </c:pt>
                <c:pt idx="8">
                  <c:v>21.733606173681608</c:v>
                </c:pt>
                <c:pt idx="9">
                  <c:v>24.200355989004322</c:v>
                </c:pt>
                <c:pt idx="10">
                  <c:v>2.9096619089323821</c:v>
                </c:pt>
                <c:pt idx="11">
                  <c:v>2.9510983588924939</c:v>
                </c:pt>
                <c:pt idx="12">
                  <c:v>2.2637360050593713</c:v>
                </c:pt>
                <c:pt idx="13">
                  <c:v>1.3812631949939358</c:v>
                </c:pt>
                <c:pt idx="14">
                  <c:v>0.96708008839524018</c:v>
                </c:pt>
                <c:pt idx="15">
                  <c:v>0.52209634757415735</c:v>
                </c:pt>
                <c:pt idx="16">
                  <c:v>0.31612535612535614</c:v>
                </c:pt>
                <c:pt idx="17">
                  <c:v>0.16590909090909089</c:v>
                </c:pt>
                <c:pt idx="18">
                  <c:v>0.10881987577639751</c:v>
                </c:pt>
                <c:pt idx="19">
                  <c:v>5.61038961038961E-2</c:v>
                </c:pt>
                <c:pt idx="20">
                  <c:v>4.675E-2</c:v>
                </c:pt>
                <c:pt idx="21">
                  <c:v>4.828856209150327E-2</c:v>
                </c:pt>
                <c:pt idx="22">
                  <c:v>3.4533333333333339E-2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Reditus!$C$41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Reditus!$I$41:$AF$41</c:f>
              <c:numCache>
                <c:formatCode>0.0</c:formatCode>
                <c:ptCount val="24"/>
                <c:pt idx="0">
                  <c:v>1.1182958001464489</c:v>
                </c:pt>
                <c:pt idx="1">
                  <c:v>0.66092752900239082</c:v>
                </c:pt>
                <c:pt idx="2">
                  <c:v>2.6283648095565995</c:v>
                </c:pt>
                <c:pt idx="3">
                  <c:v>1.2407922065143813</c:v>
                </c:pt>
                <c:pt idx="4">
                  <c:v>1.1563727166705071</c:v>
                </c:pt>
                <c:pt idx="5">
                  <c:v>0.85067973987568002</c:v>
                </c:pt>
                <c:pt idx="6">
                  <c:v>1.0696045482040477</c:v>
                </c:pt>
                <c:pt idx="7">
                  <c:v>0.91810461013091282</c:v>
                </c:pt>
                <c:pt idx="8">
                  <c:v>0.80581761112781769</c:v>
                </c:pt>
                <c:pt idx="9">
                  <c:v>0.87833591512582632</c:v>
                </c:pt>
                <c:pt idx="10">
                  <c:v>0.7612873089125205</c:v>
                </c:pt>
                <c:pt idx="11">
                  <c:v>0.63968907941340858</c:v>
                </c:pt>
                <c:pt idx="12">
                  <c:v>0.66654358919328627</c:v>
                </c:pt>
                <c:pt idx="13">
                  <c:v>0.93224544697346323</c:v>
                </c:pt>
                <c:pt idx="14">
                  <c:v>1.073726118260121</c:v>
                </c:pt>
                <c:pt idx="15">
                  <c:v>1.3251094403707953</c:v>
                </c:pt>
                <c:pt idx="16">
                  <c:v>1.3746630727762803</c:v>
                </c:pt>
                <c:pt idx="17">
                  <c:v>1.8170212765957445</c:v>
                </c:pt>
                <c:pt idx="18">
                  <c:v>2.2233083824773421</c:v>
                </c:pt>
                <c:pt idx="19">
                  <c:v>1.7467163813932527</c:v>
                </c:pt>
                <c:pt idx="20">
                  <c:v>1.3468559837728196</c:v>
                </c:pt>
                <c:pt idx="21">
                  <c:v>0.80890973036342328</c:v>
                </c:pt>
                <c:pt idx="22">
                  <c:v>0.60120481927710845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Reditus!$C$45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Reditus!$I$45:$AF$45</c:f>
              <c:numCache>
                <c:formatCode>0.0</c:formatCode>
                <c:ptCount val="24"/>
                <c:pt idx="0">
                  <c:v>2.866005108451064</c:v>
                </c:pt>
                <c:pt idx="1">
                  <c:v>2.1395978676760135</c:v>
                </c:pt>
                <c:pt idx="2">
                  <c:v>0.45841101237386472</c:v>
                </c:pt>
                <c:pt idx="3">
                  <c:v>0.81142108498118248</c:v>
                </c:pt>
                <c:pt idx="4">
                  <c:v>1.0414112167029947</c:v>
                </c:pt>
                <c:pt idx="5">
                  <c:v>1.3533289876315304</c:v>
                </c:pt>
                <c:pt idx="6">
                  <c:v>9.3687188592972728</c:v>
                </c:pt>
                <c:pt idx="7">
                  <c:v>7.3733456828566162</c:v>
                </c:pt>
                <c:pt idx="8">
                  <c:v>35.256566635493733</c:v>
                </c:pt>
                <c:pt idx="9">
                  <c:v>14.648501886881395</c:v>
                </c:pt>
                <c:pt idx="10">
                  <c:v>5.442211521917339</c:v>
                </c:pt>
                <c:pt idx="11">
                  <c:v>5.984462096360283</c:v>
                </c:pt>
                <c:pt idx="12">
                  <c:v>5.5657269691386295</c:v>
                </c:pt>
                <c:pt idx="13">
                  <c:v>4.3201337035130205</c:v>
                </c:pt>
                <c:pt idx="14">
                  <c:v>4.4028501929564348</c:v>
                </c:pt>
                <c:pt idx="15">
                  <c:v>4.4718753134366089</c:v>
                </c:pt>
                <c:pt idx="16">
                  <c:v>4.578811766381766</c:v>
                </c:pt>
                <c:pt idx="17">
                  <c:v>4.8181818181818175</c:v>
                </c:pt>
                <c:pt idx="18">
                  <c:v>4.3633540372670803</c:v>
                </c:pt>
                <c:pt idx="19">
                  <c:v>4.558441558441559</c:v>
                </c:pt>
                <c:pt idx="20">
                  <c:v>5.4398496240601499</c:v>
                </c:pt>
                <c:pt idx="21">
                  <c:v>9.6732026143790844</c:v>
                </c:pt>
                <c:pt idx="22">
                  <c:v>9.6533333333333342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Nº de Ações da Reditus (milhões)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Reditus!$C$5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Reditus!$I$3:$AD$3</c:f>
              <c:numCache>
                <c:formatCode>General</c:formatCode>
                <c:ptCount val="22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</c:numCache>
            </c:numRef>
          </c:cat>
          <c:val>
            <c:numRef>
              <c:f>Reditus!$I$5:$AD$5</c:f>
              <c:numCache>
                <c:formatCode>#,##0</c:formatCode>
                <c:ptCount val="22"/>
                <c:pt idx="0">
                  <c:v>2</c:v>
                </c:pt>
                <c:pt idx="1">
                  <c:v>2</c:v>
                </c:pt>
                <c:pt idx="2">
                  <c:v>5.5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8.9</c:v>
                </c:pt>
                <c:pt idx="11">
                  <c:v>8.9</c:v>
                </c:pt>
                <c:pt idx="12">
                  <c:v>10.9</c:v>
                </c:pt>
                <c:pt idx="13">
                  <c:v>12.3</c:v>
                </c:pt>
                <c:pt idx="14">
                  <c:v>14.6</c:v>
                </c:pt>
                <c:pt idx="15">
                  <c:v>14.6</c:v>
                </c:pt>
                <c:pt idx="16">
                  <c:v>14.6</c:v>
                </c:pt>
                <c:pt idx="17">
                  <c:v>14.6</c:v>
                </c:pt>
                <c:pt idx="18">
                  <c:v>14.6</c:v>
                </c:pt>
                <c:pt idx="19">
                  <c:v>14.4</c:v>
                </c:pt>
                <c:pt idx="20">
                  <c:v>14.63</c:v>
                </c:pt>
                <c:pt idx="21">
                  <c:v>14.63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D-4A64-9BF2-75256622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4877880"/>
        <c:axId val="724883456"/>
      </c:barChart>
      <c:catAx>
        <c:axId val="72487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883456"/>
        <c:crosses val="autoZero"/>
        <c:auto val="1"/>
        <c:lblAlgn val="ctr"/>
        <c:lblOffset val="100"/>
        <c:noMultiLvlLbl val="0"/>
      </c:catAx>
      <c:valAx>
        <c:axId val="724883456"/>
        <c:scaling>
          <c:orientation val="minMax"/>
          <c:max val="1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877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REN!$C$26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REN!$D$26:$T$26</c:f>
              <c:numCache>
                <c:formatCode>#,##0</c:formatCode>
                <c:ptCount val="17"/>
                <c:pt idx="0">
                  <c:v>1685.9754980000002</c:v>
                </c:pt>
                <c:pt idx="1">
                  <c:v>1833.1819000000003</c:v>
                </c:pt>
                <c:pt idx="2">
                  <c:v>1417.3806072</c:v>
                </c:pt>
                <c:pt idx="3">
                  <c:v>1511.22</c:v>
                </c:pt>
                <c:pt idx="4">
                  <c:v>1297.8837036</c:v>
                </c:pt>
                <c:pt idx="5">
                  <c:v>1062.9052078</c:v>
                </c:pt>
                <c:pt idx="6">
                  <c:v>1035.9883046</c:v>
                </c:pt>
                <c:pt idx="7">
                  <c:v>1126.74</c:v>
                </c:pt>
                <c:pt idx="8">
                  <c:v>1219.0656590999999</c:v>
                </c:pt>
                <c:pt idx="9">
                  <c:v>1382.824079</c:v>
                </c:pt>
                <c:pt idx="10">
                  <c:v>1428.0642</c:v>
                </c:pt>
                <c:pt idx="11">
                  <c:v>1643.0811999999999</c:v>
                </c:pt>
                <c:pt idx="12">
                  <c:v>1656.77512</c:v>
                </c:pt>
                <c:pt idx="13">
                  <c:v>1814.7568000000003</c:v>
                </c:pt>
                <c:pt idx="14">
                  <c:v>1614.84565</c:v>
                </c:pt>
                <c:pt idx="15">
                  <c:v>1697.6167999999998</c:v>
                </c:pt>
                <c:pt idx="16">
                  <c:v>1674.2703999999997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REN!$C$5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REN!$D$5:$T$5</c:f>
              <c:numCache>
                <c:formatCode>#,##0</c:formatCode>
                <c:ptCount val="17"/>
                <c:pt idx="0">
                  <c:v>533.53655000000003</c:v>
                </c:pt>
                <c:pt idx="1">
                  <c:v>537.59</c:v>
                </c:pt>
                <c:pt idx="2">
                  <c:v>530.85415999999998</c:v>
                </c:pt>
                <c:pt idx="3">
                  <c:v>534</c:v>
                </c:pt>
                <c:pt idx="4">
                  <c:v>534.10852</c:v>
                </c:pt>
                <c:pt idx="5">
                  <c:v>534.12321999999995</c:v>
                </c:pt>
                <c:pt idx="6">
                  <c:v>534.01459</c:v>
                </c:pt>
                <c:pt idx="7">
                  <c:v>534</c:v>
                </c:pt>
                <c:pt idx="8">
                  <c:v>537.03332999999998</c:v>
                </c:pt>
                <c:pt idx="9">
                  <c:v>527.79544999999996</c:v>
                </c:pt>
                <c:pt idx="10">
                  <c:v>562.23</c:v>
                </c:pt>
                <c:pt idx="11">
                  <c:v>662.8</c:v>
                </c:pt>
                <c:pt idx="12">
                  <c:v>680.68</c:v>
                </c:pt>
                <c:pt idx="13">
                  <c:v>667.19</c:v>
                </c:pt>
                <c:pt idx="14">
                  <c:v>682.81</c:v>
                </c:pt>
                <c:pt idx="15">
                  <c:v>667.04</c:v>
                </c:pt>
                <c:pt idx="16">
                  <c:v>667.04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REN!$C$6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REN!$D$6:$T$6</c:f>
              <c:numCache>
                <c:formatCode>#,##0</c:formatCode>
                <c:ptCount val="17"/>
                <c:pt idx="0">
                  <c:v>387.7</c:v>
                </c:pt>
                <c:pt idx="1">
                  <c:v>554.70000000000005</c:v>
                </c:pt>
                <c:pt idx="2">
                  <c:v>607.351</c:v>
                </c:pt>
                <c:pt idx="3">
                  <c:v>587.32100000000003</c:v>
                </c:pt>
                <c:pt idx="4">
                  <c:v>977.14499999999998</c:v>
                </c:pt>
                <c:pt idx="5">
                  <c:v>917.32500000000005</c:v>
                </c:pt>
                <c:pt idx="6">
                  <c:v>811.28700000000003</c:v>
                </c:pt>
                <c:pt idx="7">
                  <c:v>788.84500000000003</c:v>
                </c:pt>
                <c:pt idx="8">
                  <c:v>756.04200000000003</c:v>
                </c:pt>
                <c:pt idx="9">
                  <c:v>819.14400000000001</c:v>
                </c:pt>
                <c:pt idx="10">
                  <c:v>739.452</c:v>
                </c:pt>
                <c:pt idx="11">
                  <c:v>748.36599999999999</c:v>
                </c:pt>
                <c:pt idx="12">
                  <c:v>727.21</c:v>
                </c:pt>
                <c:pt idx="13">
                  <c:v>786.76</c:v>
                </c:pt>
                <c:pt idx="14">
                  <c:v>758.33</c:v>
                </c:pt>
                <c:pt idx="15">
                  <c:v>779.45</c:v>
                </c:pt>
                <c:pt idx="16" formatCode="0">
                  <c:v>765.1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REN!$C$27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REN!$D$27:$T$27</c:f>
              <c:numCache>
                <c:formatCode>0.0</c:formatCode>
                <c:ptCount val="17"/>
                <c:pt idx="0">
                  <c:v>4.3486600412690235</c:v>
                </c:pt>
                <c:pt idx="1">
                  <c:v>3.3048168379304133</c:v>
                </c:pt>
                <c:pt idx="2">
                  <c:v>2.3337091849688236</c:v>
                </c:pt>
                <c:pt idx="3">
                  <c:v>2.5730733278735136</c:v>
                </c:pt>
                <c:pt idx="4">
                  <c:v>1.3282406435073608</c:v>
                </c:pt>
                <c:pt idx="5">
                  <c:v>1.1587007961191507</c:v>
                </c:pt>
                <c:pt idx="6">
                  <c:v>1.2769689451451829</c:v>
                </c:pt>
                <c:pt idx="7">
                  <c:v>1.4283414358967859</c:v>
                </c:pt>
                <c:pt idx="8">
                  <c:v>1.6124311335878163</c:v>
                </c:pt>
                <c:pt idx="9">
                  <c:v>1.6881330742824217</c:v>
                </c:pt>
                <c:pt idx="10">
                  <c:v>1.931246652926762</c:v>
                </c:pt>
                <c:pt idx="11">
                  <c:v>2.1955583230665208</c:v>
                </c:pt>
                <c:pt idx="12">
                  <c:v>2.2782622901225231</c:v>
                </c:pt>
                <c:pt idx="13">
                  <c:v>2.3066205704407956</c:v>
                </c:pt>
                <c:pt idx="14">
                  <c:v>2.129476151543523</c:v>
                </c:pt>
                <c:pt idx="15">
                  <c:v>2.1779675412149588</c:v>
                </c:pt>
                <c:pt idx="16">
                  <c:v>2.1883027055286886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Altri!$C$6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Altri!$D$3:$T$3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cat>
          <c:val>
            <c:numRef>
              <c:f>Altri!$D$6:$T$6</c:f>
              <c:numCache>
                <c:formatCode>#,##0</c:formatCode>
                <c:ptCount val="17"/>
                <c:pt idx="0">
                  <c:v>151.5</c:v>
                </c:pt>
                <c:pt idx="1">
                  <c:v>295.53542199999998</c:v>
                </c:pt>
                <c:pt idx="2">
                  <c:v>419.33568400000001</c:v>
                </c:pt>
                <c:pt idx="3">
                  <c:v>280.17399999999998</c:v>
                </c:pt>
                <c:pt idx="4">
                  <c:v>309.60899999999998</c:v>
                </c:pt>
                <c:pt idx="5">
                  <c:v>500.37700000000001</c:v>
                </c:pt>
                <c:pt idx="6">
                  <c:v>486.60199999999998</c:v>
                </c:pt>
                <c:pt idx="7">
                  <c:v>542.827</c:v>
                </c:pt>
                <c:pt idx="8">
                  <c:v>572.57100000000003</c:v>
                </c:pt>
                <c:pt idx="9">
                  <c:v>552.85799999999995</c:v>
                </c:pt>
                <c:pt idx="10">
                  <c:v>664.82500000000005</c:v>
                </c:pt>
                <c:pt idx="11">
                  <c:v>612.49599999999998</c:v>
                </c:pt>
                <c:pt idx="12">
                  <c:v>665.779</c:v>
                </c:pt>
                <c:pt idx="13">
                  <c:v>784.83</c:v>
                </c:pt>
                <c:pt idx="14">
                  <c:v>753.52</c:v>
                </c:pt>
                <c:pt idx="15">
                  <c:v>615.65</c:v>
                </c:pt>
                <c:pt idx="16">
                  <c:v>814.3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Altri!$C$27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Altri!$D$27:$T$27</c:f>
              <c:numCache>
                <c:formatCode>0.0</c:formatCode>
                <c:ptCount val="17"/>
                <c:pt idx="0">
                  <c:v>0.87287128712871276</c:v>
                </c:pt>
                <c:pt idx="1">
                  <c:v>1.1932241408273558</c:v>
                </c:pt>
                <c:pt idx="2">
                  <c:v>1.1065120801882435</c:v>
                </c:pt>
                <c:pt idx="3">
                  <c:v>0.77202024456230778</c:v>
                </c:pt>
                <c:pt idx="4">
                  <c:v>1.3307106705554426</c:v>
                </c:pt>
                <c:pt idx="5">
                  <c:v>0.69681460179025001</c:v>
                </c:pt>
                <c:pt idx="6">
                  <c:v>0.50579323553951683</c:v>
                </c:pt>
                <c:pt idx="7">
                  <c:v>0.60076046327835564</c:v>
                </c:pt>
                <c:pt idx="8">
                  <c:v>0.80250519149590183</c:v>
                </c:pt>
                <c:pt idx="9">
                  <c:v>0.92016828914477145</c:v>
                </c:pt>
                <c:pt idx="10">
                  <c:v>1.4717709171586506</c:v>
                </c:pt>
                <c:pt idx="11">
                  <c:v>1.2927460750764086</c:v>
                </c:pt>
                <c:pt idx="12">
                  <c:v>1.5929041018115619</c:v>
                </c:pt>
                <c:pt idx="13">
                  <c:v>1.5154950753666399</c:v>
                </c:pt>
                <c:pt idx="14">
                  <c:v>1.54550695402909</c:v>
                </c:pt>
                <c:pt idx="15">
                  <c:v>1.7187707301226347</c:v>
                </c:pt>
                <c:pt idx="16">
                  <c:v>1.4132244626304804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'Benfica SAD'!$C$38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SAD'!$D$38:$S$38</c:f>
              <c:numCache>
                <c:formatCode>0%</c:formatCode>
                <c:ptCount val="16"/>
                <c:pt idx="0">
                  <c:v>-0.33991514763884451</c:v>
                </c:pt>
                <c:pt idx="1">
                  <c:v>-3.4616437180273761E-2</c:v>
                </c:pt>
                <c:pt idx="2">
                  <c:v>0.17364387282617949</c:v>
                </c:pt>
                <c:pt idx="3">
                  <c:v>2.5360049084841489</c:v>
                </c:pt>
                <c:pt idx="4">
                  <c:v>-1.527027027027027</c:v>
                </c:pt>
                <c:pt idx="5">
                  <c:v>3.0416666666666665</c:v>
                </c:pt>
                <c:pt idx="6">
                  <c:v>-0.35915492957746475</c:v>
                </c:pt>
                <c:pt idx="7">
                  <c:v>-0.29831932773109243</c:v>
                </c:pt>
                <c:pt idx="8">
                  <c:v>-3.9876205213665039</c:v>
                </c:pt>
                <c:pt idx="9">
                  <c:v>52.869565217391305</c:v>
                </c:pt>
                <c:pt idx="10">
                  <c:v>1.8188690077504543</c:v>
                </c:pt>
                <c:pt idx="11">
                  <c:v>0.92873383334317605</c:v>
                </c:pt>
                <c:pt idx="12">
                  <c:v>0.3732075602087005</c:v>
                </c:pt>
                <c:pt idx="13">
                  <c:v>0.27348993288590606</c:v>
                </c:pt>
                <c:pt idx="14">
                  <c:v>0.33519553072625702</c:v>
                </c:pt>
                <c:pt idx="15">
                  <c:v>-0.17466945024356301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'Benfica SAD'!$C$39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96-4D78-A45C-F049809AA303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96-4D78-A45C-F049809AA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SAD'!$D$39:$S$39</c:f>
              <c:numCache>
                <c:formatCode>0%</c:formatCode>
                <c:ptCount val="16"/>
                <c:pt idx="0">
                  <c:v>-0.10404008101481718</c:v>
                </c:pt>
                <c:pt idx="1">
                  <c:v>0.66769305199046503</c:v>
                </c:pt>
                <c:pt idx="2">
                  <c:v>5.2497752071538843E-3</c:v>
                </c:pt>
                <c:pt idx="3">
                  <c:v>2.9537969591350373</c:v>
                </c:pt>
                <c:pt idx="4">
                  <c:v>-2.5675675675675675</c:v>
                </c:pt>
                <c:pt idx="5">
                  <c:v>-3.2083333333333335</c:v>
                </c:pt>
                <c:pt idx="6">
                  <c:v>0.823943661971831</c:v>
                </c:pt>
                <c:pt idx="7">
                  <c:v>0.43697478991596639</c:v>
                </c:pt>
                <c:pt idx="8">
                  <c:v>-1.6861087965718367</c:v>
                </c:pt>
                <c:pt idx="9">
                  <c:v>12.29913043478261</c:v>
                </c:pt>
                <c:pt idx="10">
                  <c:v>0.97579179025930529</c:v>
                </c:pt>
                <c:pt idx="11">
                  <c:v>0.6575473926652099</c:v>
                </c:pt>
                <c:pt idx="12">
                  <c:v>0.23705700102507402</c:v>
                </c:pt>
                <c:pt idx="13">
                  <c:v>0.2348993288590604</c:v>
                </c:pt>
                <c:pt idx="14">
                  <c:v>0.25884543761638734</c:v>
                </c:pt>
                <c:pt idx="15">
                  <c:v>-0.12108559498956159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REN!$C$7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REN!$D$7:$T$7</c:f>
              <c:numCache>
                <c:formatCode>#,##0</c:formatCode>
                <c:ptCount val="17"/>
                <c:pt idx="0">
                  <c:v>709.7</c:v>
                </c:pt>
                <c:pt idx="1">
                  <c:v>388.9</c:v>
                </c:pt>
                <c:pt idx="2">
                  <c:v>366.7</c:v>
                </c:pt>
                <c:pt idx="3">
                  <c:v>384.1</c:v>
                </c:pt>
                <c:pt idx="4">
                  <c:v>431.4</c:v>
                </c:pt>
                <c:pt idx="5">
                  <c:v>472.5</c:v>
                </c:pt>
                <c:pt idx="6">
                  <c:v>511.6</c:v>
                </c:pt>
                <c:pt idx="7">
                  <c:v>521.5</c:v>
                </c:pt>
                <c:pt idx="8">
                  <c:v>505.2</c:v>
                </c:pt>
                <c:pt idx="9">
                  <c:v>489.7</c:v>
                </c:pt>
                <c:pt idx="10">
                  <c:v>476</c:v>
                </c:pt>
                <c:pt idx="11">
                  <c:v>487.5</c:v>
                </c:pt>
                <c:pt idx="12">
                  <c:v>492.3</c:v>
                </c:pt>
                <c:pt idx="13">
                  <c:v>486</c:v>
                </c:pt>
                <c:pt idx="14">
                  <c:v>470.2</c:v>
                </c:pt>
                <c:pt idx="15">
                  <c:v>459.82</c:v>
                </c:pt>
                <c:pt idx="16" formatCode="0">
                  <c:v>457.45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REN!$C$28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REN!$D$28:$T$28</c:f>
              <c:numCache>
                <c:formatCode>0.00</c:formatCode>
                <c:ptCount val="17"/>
                <c:pt idx="0">
                  <c:v>2.3756171593631112</c:v>
                </c:pt>
                <c:pt idx="1">
                  <c:v>4.7137616353818474</c:v>
                </c:pt>
                <c:pt idx="2">
                  <c:v>3.8652320894464141</c:v>
                </c:pt>
                <c:pt idx="3">
                  <c:v>3.9344441551679248</c:v>
                </c:pt>
                <c:pt idx="4">
                  <c:v>3.0085389513212797</c:v>
                </c:pt>
                <c:pt idx="5">
                  <c:v>2.2495348313227512</c:v>
                </c:pt>
                <c:pt idx="6">
                  <c:v>2.024996686082877</c:v>
                </c:pt>
                <c:pt idx="7">
                  <c:v>2.160575263662512</c:v>
                </c:pt>
                <c:pt idx="8">
                  <c:v>2.4130357464370547</c:v>
                </c:pt>
                <c:pt idx="9">
                  <c:v>2.8238188258117214</c:v>
                </c:pt>
                <c:pt idx="10">
                  <c:v>3.0001348739495799</c:v>
                </c:pt>
                <c:pt idx="11">
                  <c:v>3.370422974358974</c:v>
                </c:pt>
                <c:pt idx="12">
                  <c:v>3.3653770465163517</c:v>
                </c:pt>
                <c:pt idx="13">
                  <c:v>3.734067489711935</c:v>
                </c:pt>
                <c:pt idx="14">
                  <c:v>3.4343803700552957</c:v>
                </c:pt>
                <c:pt idx="15">
                  <c:v>3.6919159671175672</c:v>
                </c:pt>
                <c:pt idx="16">
                  <c:v>3.6600074325062844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REN!$C$32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9-4F7B-AFCE-48C28073379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09-4F7B-AFCE-48C2807337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REN!$D$32:$T$32</c:f>
              <c:numCache>
                <c:formatCode>0.0%</c:formatCode>
                <c:ptCount val="17"/>
                <c:pt idx="0">
                  <c:v>1.8305390766056231</c:v>
                </c:pt>
                <c:pt idx="1">
                  <c:v>0.70109969352803303</c:v>
                </c:pt>
                <c:pt idx="2">
                  <c:v>0.60376948420270982</c:v>
                </c:pt>
                <c:pt idx="3">
                  <c:v>0.65398649120327723</c:v>
                </c:pt>
                <c:pt idx="4">
                  <c:v>0.44149025988978091</c:v>
                </c:pt>
                <c:pt idx="5">
                  <c:v>0.51508462104488595</c:v>
                </c:pt>
                <c:pt idx="6">
                  <c:v>0.63060298020306005</c:v>
                </c:pt>
                <c:pt idx="7">
                  <c:v>0.66109311715229224</c:v>
                </c:pt>
                <c:pt idx="8">
                  <c:v>0.66821684509590729</c:v>
                </c:pt>
                <c:pt idx="9">
                  <c:v>0.59781918685847668</c:v>
                </c:pt>
                <c:pt idx="10">
                  <c:v>0.64371994395849896</c:v>
                </c:pt>
                <c:pt idx="11">
                  <c:v>0.6514192253523009</c:v>
                </c:pt>
                <c:pt idx="12">
                  <c:v>0.67697088873915379</c:v>
                </c:pt>
                <c:pt idx="13">
                  <c:v>0.61772332096191973</c:v>
                </c:pt>
                <c:pt idx="14">
                  <c:v>0.62004668152387477</c:v>
                </c:pt>
                <c:pt idx="15">
                  <c:v>0.58992879594585923</c:v>
                </c:pt>
                <c:pt idx="16">
                  <c:v>0.59789569990850866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REN!$C$33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9-4F7B-AFCE-48C28073379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09-4F7B-AFCE-48C2807337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REN!$D$33:$T$33</c:f>
              <c:numCache>
                <c:formatCode>0.0%</c:formatCode>
                <c:ptCount val="17"/>
                <c:pt idx="0">
                  <c:v>1.4722723755481042</c:v>
                </c:pt>
                <c:pt idx="1">
                  <c:v>0.47755543537047046</c:v>
                </c:pt>
                <c:pt idx="2">
                  <c:v>0.39021916486512742</c:v>
                </c:pt>
                <c:pt idx="3">
                  <c:v>0.44047462971696905</c:v>
                </c:pt>
                <c:pt idx="4">
                  <c:v>0.25635908693182691</c:v>
                </c:pt>
                <c:pt idx="5">
                  <c:v>0.30872373477229986</c:v>
                </c:pt>
                <c:pt idx="6">
                  <c:v>0.38728588033581207</c:v>
                </c:pt>
                <c:pt idx="7">
                  <c:v>0.40603667387129283</c:v>
                </c:pt>
                <c:pt idx="8">
                  <c:v>0.40024231458040693</c:v>
                </c:pt>
                <c:pt idx="9">
                  <c:v>0.34230855624896228</c:v>
                </c:pt>
                <c:pt idx="10">
                  <c:v>0.35336979276545333</c:v>
                </c:pt>
                <c:pt idx="11">
                  <c:v>0.35477293196109927</c:v>
                </c:pt>
                <c:pt idx="12">
                  <c:v>0.35417554764098402</c:v>
                </c:pt>
                <c:pt idx="13">
                  <c:v>0.31822919314657583</c:v>
                </c:pt>
                <c:pt idx="14">
                  <c:v>0.30180792003481333</c:v>
                </c:pt>
                <c:pt idx="15">
                  <c:v>0.27837577779203282</c:v>
                </c:pt>
                <c:pt idx="16">
                  <c:v>0.27534962749967323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REN!$C$35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09-4F7B-AFCE-48C28073379A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09-4F7B-AFCE-48C2807337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REN!$D$35:$T$35</c:f>
              <c:numCache>
                <c:formatCode>0.0%</c:formatCode>
                <c:ptCount val="17"/>
                <c:pt idx="0">
                  <c:v>1.2808872839824608</c:v>
                </c:pt>
                <c:pt idx="1">
                  <c:v>0.26176311519740397</c:v>
                </c:pt>
                <c:pt idx="2">
                  <c:v>0.20976338229458749</c:v>
                </c:pt>
                <c:pt idx="3">
                  <c:v>0.22815462072699597</c:v>
                </c:pt>
                <c:pt idx="4">
                  <c:v>0.11287986941549105</c:v>
                </c:pt>
                <c:pt idx="5">
                  <c:v>0.13146921756193278</c:v>
                </c:pt>
                <c:pt idx="6">
                  <c:v>0.15235052453693945</c:v>
                </c:pt>
                <c:pt idx="7">
                  <c:v>0.15376911814107966</c:v>
                </c:pt>
                <c:pt idx="8">
                  <c:v>0.14919806042521447</c:v>
                </c:pt>
                <c:pt idx="9">
                  <c:v>0.14173332161378219</c:v>
                </c:pt>
                <c:pt idx="10">
                  <c:v>0.13550575290891093</c:v>
                </c:pt>
                <c:pt idx="11">
                  <c:v>0.16823319071149678</c:v>
                </c:pt>
                <c:pt idx="12">
                  <c:v>0.15912872485251853</c:v>
                </c:pt>
                <c:pt idx="13">
                  <c:v>0.15112613757689766</c:v>
                </c:pt>
                <c:pt idx="14">
                  <c:v>0.14406656732557066</c:v>
                </c:pt>
                <c:pt idx="15">
                  <c:v>0.13392776958111488</c:v>
                </c:pt>
                <c:pt idx="16">
                  <c:v>0.13949810482289896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REN!$C$12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REN!$D$12:$T$12</c:f>
              <c:numCache>
                <c:formatCode>#,##0</c:formatCode>
                <c:ptCount val="17"/>
                <c:pt idx="0">
                  <c:v>496.6</c:v>
                </c:pt>
                <c:pt idx="1">
                  <c:v>145.19999999999999</c:v>
                </c:pt>
                <c:pt idx="2">
                  <c:v>127.4</c:v>
                </c:pt>
                <c:pt idx="3">
                  <c:v>134</c:v>
                </c:pt>
                <c:pt idx="4">
                  <c:v>110.3</c:v>
                </c:pt>
                <c:pt idx="5">
                  <c:v>120.6</c:v>
                </c:pt>
                <c:pt idx="6">
                  <c:v>123.6</c:v>
                </c:pt>
                <c:pt idx="7">
                  <c:v>121.3</c:v>
                </c:pt>
                <c:pt idx="8">
                  <c:v>112.8</c:v>
                </c:pt>
                <c:pt idx="9">
                  <c:v>116.1</c:v>
                </c:pt>
                <c:pt idx="10">
                  <c:v>100.2</c:v>
                </c:pt>
                <c:pt idx="11">
                  <c:v>125.9</c:v>
                </c:pt>
                <c:pt idx="12">
                  <c:v>115.72</c:v>
                </c:pt>
                <c:pt idx="13">
                  <c:v>118.9</c:v>
                </c:pt>
                <c:pt idx="14">
                  <c:v>109.25</c:v>
                </c:pt>
                <c:pt idx="15">
                  <c:v>104.39</c:v>
                </c:pt>
                <c:pt idx="16">
                  <c:v>106.73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REN!$C$36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1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11-4147-B2C0-2E13F9D0F1BF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REN!$D$36:$T$36</c:f>
              <c:numCache>
                <c:formatCode>0.0</c:formatCode>
                <c:ptCount val="17"/>
                <c:pt idx="0">
                  <c:v>3.3950372492952079</c:v>
                </c:pt>
                <c:pt idx="1">
                  <c:v>12.625219696969699</c:v>
                </c:pt>
                <c:pt idx="2">
                  <c:v>11.125436477237049</c:v>
                </c:pt>
                <c:pt idx="3">
                  <c:v>11.277761194029852</c:v>
                </c:pt>
                <c:pt idx="4">
                  <c:v>11.766851347234814</c:v>
                </c:pt>
                <c:pt idx="5">
                  <c:v>8.8134760182421221</c:v>
                </c:pt>
                <c:pt idx="6">
                  <c:v>8.381782399676375</c:v>
                </c:pt>
                <c:pt idx="7">
                  <c:v>9.2888705688375932</c:v>
                </c:pt>
                <c:pt idx="8">
                  <c:v>10.807319672872341</c:v>
                </c:pt>
                <c:pt idx="9">
                  <c:v>11.910629448751077</c:v>
                </c:pt>
                <c:pt idx="10">
                  <c:v>14.252137724550899</c:v>
                </c:pt>
                <c:pt idx="11">
                  <c:v>13.050684670373311</c:v>
                </c:pt>
                <c:pt idx="12">
                  <c:v>14.317102661596959</c:v>
                </c:pt>
                <c:pt idx="13">
                  <c:v>15.262883095037848</c:v>
                </c:pt>
                <c:pt idx="14">
                  <c:v>14.781195881006864</c:v>
                </c:pt>
                <c:pt idx="15">
                  <c:v>16.262255005268702</c:v>
                </c:pt>
                <c:pt idx="16">
                  <c:v>15.686970861051247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REN!$C$38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9-4F33-A1BF-3E5ED9CD526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9-4F33-A1BF-3E5ED9CD52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REN!$D$38:$T$38</c:f>
              <c:numCache>
                <c:formatCode>0%</c:formatCode>
                <c:ptCount val="17"/>
                <c:pt idx="0">
                  <c:v>0.60315058476442462</c:v>
                </c:pt>
                <c:pt idx="1">
                  <c:v>0.26323399206422549</c:v>
                </c:pt>
                <c:pt idx="2">
                  <c:v>0.23426472507008173</c:v>
                </c:pt>
                <c:pt idx="3">
                  <c:v>0.25958284124306763</c:v>
                </c:pt>
                <c:pt idx="4">
                  <c:v>0.24513137769705678</c:v>
                </c:pt>
                <c:pt idx="5">
                  <c:v>0.27297990532455402</c:v>
                </c:pt>
                <c:pt idx="6">
                  <c:v>0.30576426956691832</c:v>
                </c:pt>
                <c:pt idx="7">
                  <c:v>0.29669330082644324</c:v>
                </c:pt>
                <c:pt idx="8">
                  <c:v>0.26647480950045221</c:v>
                </c:pt>
                <c:pt idx="9">
                  <c:v>0.2414558305469181</c:v>
                </c:pt>
                <c:pt idx="10">
                  <c:v>0.2254107729614041</c:v>
                </c:pt>
                <c:pt idx="11">
                  <c:v>0.18576969176225117</c:v>
                </c:pt>
                <c:pt idx="12">
                  <c:v>0.17595299904358519</c:v>
                </c:pt>
                <c:pt idx="13">
                  <c:v>0.17313463799184015</c:v>
                </c:pt>
                <c:pt idx="14">
                  <c:v>0.16258435746252753</c:v>
                </c:pt>
                <c:pt idx="15">
                  <c:v>0.15865750219362387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REN!$C$39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9-4F33-A1BF-3E5ED9CD526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9-4F33-A1BF-3E5ED9CD52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REN!$D$39:$T$39</c:f>
              <c:numCache>
                <c:formatCode>0%</c:formatCode>
                <c:ptCount val="17"/>
                <c:pt idx="0">
                  <c:v>0.52474523544851659</c:v>
                </c:pt>
                <c:pt idx="1">
                  <c:v>0.14428680878718589</c:v>
                </c:pt>
                <c:pt idx="2">
                  <c:v>0.12592964545961355</c:v>
                </c:pt>
                <c:pt idx="3">
                  <c:v>0.13445728924070763</c:v>
                </c:pt>
                <c:pt idx="4">
                  <c:v>0.10793609165662819</c:v>
                </c:pt>
                <c:pt idx="5">
                  <c:v>0.11624779866575287</c:v>
                </c:pt>
                <c:pt idx="6">
                  <c:v>0.12028155225484119</c:v>
                </c:pt>
                <c:pt idx="7">
                  <c:v>0.11235996687557777</c:v>
                </c:pt>
                <c:pt idx="8">
                  <c:v>9.9333636852779267E-2</c:v>
                </c:pt>
                <c:pt idx="9">
                  <c:v>9.9975113860546333E-2</c:v>
                </c:pt>
                <c:pt idx="10">
                  <c:v>8.6437655762467244E-2</c:v>
                </c:pt>
                <c:pt idx="11">
                  <c:v>8.8091917863907437E-2</c:v>
                </c:pt>
                <c:pt idx="12">
                  <c:v>7.9054515644213688E-2</c:v>
                </c:pt>
                <c:pt idx="13">
                  <c:v>8.2221146532051731E-2</c:v>
                </c:pt>
                <c:pt idx="14">
                  <c:v>7.7608865525324991E-2</c:v>
                </c:pt>
                <c:pt idx="15">
                  <c:v>7.6330798479087456E-2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REN!$C$37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REN!$D$37:$T$37</c:f>
              <c:numCache>
                <c:formatCode>0.00</c:formatCode>
                <c:ptCount val="17"/>
                <c:pt idx="0">
                  <c:v>1.7815296207378981</c:v>
                </c:pt>
                <c:pt idx="1">
                  <c:v>1.8216526603128802</c:v>
                </c:pt>
                <c:pt idx="2">
                  <c:v>1.4010222711619134</c:v>
                </c:pt>
                <c:pt idx="3">
                  <c:v>1.5163771988533001</c:v>
                </c:pt>
                <c:pt idx="4">
                  <c:v>1.2700679455250559</c:v>
                </c:pt>
                <c:pt idx="5">
                  <c:v>1.0245471857140516</c:v>
                </c:pt>
                <c:pt idx="6">
                  <c:v>1.0081737976953822</c:v>
                </c:pt>
                <c:pt idx="7">
                  <c:v>1.0436971894261211</c:v>
                </c:pt>
                <c:pt idx="8">
                  <c:v>1.0735303677369983</c:v>
                </c:pt>
                <c:pt idx="9">
                  <c:v>1.1907665352896653</c:v>
                </c:pt>
                <c:pt idx="10">
                  <c:v>1.2319213745140039</c:v>
                </c:pt>
                <c:pt idx="11">
                  <c:v>1.1496598420502815</c:v>
                </c:pt>
                <c:pt idx="12">
                  <c:v>1.1318316163410302</c:v>
                </c:pt>
                <c:pt idx="13">
                  <c:v>1.2549317474586823</c:v>
                </c:pt>
                <c:pt idx="14">
                  <c:v>1.1471518434325494</c:v>
                </c:pt>
                <c:pt idx="15">
                  <c:v>1.2413109096226966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REN!$C$41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REN!$D$41:$T$41</c:f>
              <c:numCache>
                <c:formatCode>0.0</c:formatCode>
                <c:ptCount val="17"/>
                <c:pt idx="0">
                  <c:v>0.29399035333942836</c:v>
                </c:pt>
                <c:pt idx="1">
                  <c:v>0.39560593935857336</c:v>
                </c:pt>
                <c:pt idx="2">
                  <c:v>0.41398687374203325</c:v>
                </c:pt>
                <c:pt idx="3">
                  <c:v>0.63475277699135679</c:v>
                </c:pt>
                <c:pt idx="4">
                  <c:v>0.53198473807232227</c:v>
                </c:pt>
                <c:pt idx="5">
                  <c:v>0.56250658523300556</c:v>
                </c:pt>
                <c:pt idx="6">
                  <c:v>0.25864876670576115</c:v>
                </c:pt>
                <c:pt idx="7">
                  <c:v>0.80511055280115573</c:v>
                </c:pt>
                <c:pt idx="8">
                  <c:v>0.65414400152831109</c:v>
                </c:pt>
                <c:pt idx="9">
                  <c:v>0.34642386493545979</c:v>
                </c:pt>
                <c:pt idx="10">
                  <c:v>0.82955000511786348</c:v>
                </c:pt>
                <c:pt idx="11">
                  <c:v>0.53675851121378459</c:v>
                </c:pt>
                <c:pt idx="12">
                  <c:v>0.5876894161870081</c:v>
                </c:pt>
                <c:pt idx="13">
                  <c:v>0.35047433283092472</c:v>
                </c:pt>
                <c:pt idx="14">
                  <c:v>0.55351351351351352</c:v>
                </c:pt>
                <c:pt idx="15">
                  <c:v>0.82174650275540484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REN!$C$45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REN!$D$3:$T$3</c:f>
              <c:strCache>
                <c:ptCount val="1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21*</c:v>
                </c:pt>
                <c:pt idx="16">
                  <c:v>22*</c:v>
                </c:pt>
              </c:strCache>
            </c:strRef>
          </c:cat>
          <c:val>
            <c:numRef>
              <c:f>REN!$D$45:$T$45</c:f>
              <c:numCache>
                <c:formatCode>0.0</c:formatCode>
                <c:ptCount val="17"/>
                <c:pt idx="0">
                  <c:v>3.1269870789675007</c:v>
                </c:pt>
                <c:pt idx="1">
                  <c:v>2.944568823913452</c:v>
                </c:pt>
                <c:pt idx="2">
                  <c:v>2.7788847417552653</c:v>
                </c:pt>
                <c:pt idx="3">
                  <c:v>3.3087681203774033</c:v>
                </c:pt>
                <c:pt idx="4">
                  <c:v>3.3649081466795709</c:v>
                </c:pt>
                <c:pt idx="5">
                  <c:v>3.3122294419238139</c:v>
                </c:pt>
                <c:pt idx="6">
                  <c:v>3.5602414973301588</c:v>
                </c:pt>
                <c:pt idx="7">
                  <c:v>3.6883182686375822</c:v>
                </c:pt>
                <c:pt idx="8">
                  <c:v>3.3368246875789804</c:v>
                </c:pt>
                <c:pt idx="9">
                  <c:v>2.9524640291951445</c:v>
                </c:pt>
                <c:pt idx="10">
                  <c:v>2.9249122468010733</c:v>
                </c:pt>
                <c:pt idx="11">
                  <c:v>2.7536504968901943</c:v>
                </c:pt>
                <c:pt idx="12">
                  <c:v>2.5465910643530538</c:v>
                </c:pt>
                <c:pt idx="13">
                  <c:v>2.6686951109881751</c:v>
                </c:pt>
                <c:pt idx="14">
                  <c:v>2.7285643247851104</c:v>
                </c:pt>
                <c:pt idx="15">
                  <c:v>3.0431412693770112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Semapa!$C$26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Semapa!$H$26:$AE$26</c:f>
              <c:numCache>
                <c:formatCode>#,##0</c:formatCode>
                <c:ptCount val="24"/>
                <c:pt idx="0">
                  <c:v>375.24</c:v>
                </c:pt>
                <c:pt idx="1">
                  <c:v>382.32000000000005</c:v>
                </c:pt>
                <c:pt idx="2">
                  <c:v>424.71</c:v>
                </c:pt>
                <c:pt idx="3">
                  <c:v>527.45999999999992</c:v>
                </c:pt>
                <c:pt idx="4">
                  <c:v>361.92</c:v>
                </c:pt>
                <c:pt idx="5">
                  <c:v>394.4</c:v>
                </c:pt>
                <c:pt idx="6">
                  <c:v>448.92</c:v>
                </c:pt>
                <c:pt idx="7">
                  <c:v>745.88</c:v>
                </c:pt>
                <c:pt idx="8">
                  <c:v>968.59999999999991</c:v>
                </c:pt>
                <c:pt idx="9">
                  <c:v>935.63999999999987</c:v>
                </c:pt>
                <c:pt idx="10">
                  <c:v>670.44</c:v>
                </c:pt>
                <c:pt idx="11">
                  <c:v>813.63</c:v>
                </c:pt>
                <c:pt idx="12">
                  <c:v>883.66000000000008</c:v>
                </c:pt>
                <c:pt idx="13">
                  <c:v>572.91000000000008</c:v>
                </c:pt>
                <c:pt idx="14">
                  <c:v>606.81000000000006</c:v>
                </c:pt>
                <c:pt idx="15">
                  <c:v>868.97</c:v>
                </c:pt>
                <c:pt idx="16">
                  <c:v>1051.9520000000002</c:v>
                </c:pt>
                <c:pt idx="17">
                  <c:v>1036.8981420999999</c:v>
                </c:pt>
                <c:pt idx="18">
                  <c:v>1088.0800000000002</c:v>
                </c:pt>
                <c:pt idx="19">
                  <c:v>1435.7659254450002</c:v>
                </c:pt>
                <c:pt idx="20">
                  <c:v>1056.9560901</c:v>
                </c:pt>
                <c:pt idx="21">
                  <c:v>1101.3044</c:v>
                </c:pt>
                <c:pt idx="22">
                  <c:v>726.15303900000004</c:v>
                </c:pt>
                <c:pt idx="23">
                  <c:v>934.47166409999988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Semapa!$C$5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Semapa!$H$5:$AE$5</c:f>
              <c:numCache>
                <c:formatCode>#,##0</c:formatCode>
                <c:ptCount val="24"/>
                <c:pt idx="0">
                  <c:v>118</c:v>
                </c:pt>
                <c:pt idx="1">
                  <c:v>118</c:v>
                </c:pt>
                <c:pt idx="2">
                  <c:v>117</c:v>
                </c:pt>
                <c:pt idx="3">
                  <c:v>118</c:v>
                </c:pt>
                <c:pt idx="4">
                  <c:v>116</c:v>
                </c:pt>
                <c:pt idx="5">
                  <c:v>116</c:v>
                </c:pt>
                <c:pt idx="6">
                  <c:v>116</c:v>
                </c:pt>
                <c:pt idx="7">
                  <c:v>116</c:v>
                </c:pt>
                <c:pt idx="8">
                  <c:v>116</c:v>
                </c:pt>
                <c:pt idx="9">
                  <c:v>113</c:v>
                </c:pt>
                <c:pt idx="10">
                  <c:v>111</c:v>
                </c:pt>
                <c:pt idx="11">
                  <c:v>111</c:v>
                </c:pt>
                <c:pt idx="12">
                  <c:v>113</c:v>
                </c:pt>
                <c:pt idx="13">
                  <c:v>113</c:v>
                </c:pt>
                <c:pt idx="14">
                  <c:v>113</c:v>
                </c:pt>
                <c:pt idx="15">
                  <c:v>113</c:v>
                </c:pt>
                <c:pt idx="16">
                  <c:v>111.2</c:v>
                </c:pt>
                <c:pt idx="17">
                  <c:v>81.645522999999997</c:v>
                </c:pt>
                <c:pt idx="18">
                  <c:v>81.2</c:v>
                </c:pt>
                <c:pt idx="19">
                  <c:v>80.683671000000004</c:v>
                </c:pt>
                <c:pt idx="20">
                  <c:v>80.683671000000004</c:v>
                </c:pt>
                <c:pt idx="21">
                  <c:v>80.27</c:v>
                </c:pt>
                <c:pt idx="22">
                  <c:v>80.683671000000004</c:v>
                </c:pt>
                <c:pt idx="23">
                  <c:v>79.869372999999996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Semapa!$C$6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7"/>
              <c:layout>
                <c:manualLayout>
                  <c:x val="-1.8567251461988304E-3"/>
                  <c:y val="-4.5861111111111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A-489B-9F0A-9EB634DF17E0}"/>
                </c:ext>
              </c:extLst>
            </c:dLbl>
            <c:dLbl>
              <c:idx val="10"/>
              <c:layout>
                <c:manualLayout>
                  <c:x val="0"/>
                  <c:y val="-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A-489B-9F0A-9EB634DF17E0}"/>
                </c:ext>
              </c:extLst>
            </c:dLbl>
            <c:dLbl>
              <c:idx val="15"/>
              <c:layout>
                <c:manualLayout>
                  <c:x val="0"/>
                  <c:y val="-5.644444444444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A-489B-9F0A-9EB634DF17E0}"/>
                </c:ext>
              </c:extLst>
            </c:dLbl>
            <c:dLbl>
              <c:idx val="17"/>
              <c:layout>
                <c:manualLayout>
                  <c:x val="0"/>
                  <c:y val="-3.8805555555555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4A-489B-9F0A-9EB634DF17E0}"/>
                </c:ext>
              </c:extLst>
            </c:dLbl>
            <c:dLbl>
              <c:idx val="19"/>
              <c:layout>
                <c:manualLayout>
                  <c:x val="1.8567251461988304E-3"/>
                  <c:y val="-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4A-489B-9F0A-9EB634DF17E0}"/>
                </c:ext>
              </c:extLst>
            </c:dLbl>
            <c:dLbl>
              <c:idx val="20"/>
              <c:layout>
                <c:manualLayout>
                  <c:x val="-3.7134502923976609E-3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4A-489B-9F0A-9EB634DF17E0}"/>
                </c:ext>
              </c:extLst>
            </c:dLbl>
            <c:dLbl>
              <c:idx val="21"/>
              <c:layout>
                <c:manualLayout>
                  <c:x val="0"/>
                  <c:y val="-6.35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A-489B-9F0A-9EB634DF1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Semapa!$H$6:$AE$6</c:f>
              <c:numCache>
                <c:formatCode>#,##0</c:formatCode>
                <c:ptCount val="24"/>
                <c:pt idx="0">
                  <c:v>363.25330000000002</c:v>
                </c:pt>
                <c:pt idx="1">
                  <c:v>396.40647999999999</c:v>
                </c:pt>
                <c:pt idx="2">
                  <c:v>465.24460800000003</c:v>
                </c:pt>
                <c:pt idx="3">
                  <c:v>500.60350399999999</c:v>
                </c:pt>
                <c:pt idx="4">
                  <c:v>491.06051100000002</c:v>
                </c:pt>
                <c:pt idx="5">
                  <c:v>417.82124499999998</c:v>
                </c:pt>
                <c:pt idx="6">
                  <c:v>736.77713199999994</c:v>
                </c:pt>
                <c:pt idx="7">
                  <c:v>1529.714937</c:v>
                </c:pt>
                <c:pt idx="8">
                  <c:v>1506.711135</c:v>
                </c:pt>
                <c:pt idx="9">
                  <c:v>1404.209668</c:v>
                </c:pt>
                <c:pt idx="10">
                  <c:v>1441.7400890000001</c:v>
                </c:pt>
                <c:pt idx="11">
                  <c:v>1416.430417</c:v>
                </c:pt>
                <c:pt idx="12">
                  <c:v>1688.23632</c:v>
                </c:pt>
                <c:pt idx="13">
                  <c:v>1779.7445310000001</c:v>
                </c:pt>
                <c:pt idx="14">
                  <c:v>1952.5879179999999</c:v>
                </c:pt>
                <c:pt idx="15">
                  <c:v>1990.510464</c:v>
                </c:pt>
                <c:pt idx="16">
                  <c:v>1998.155894</c:v>
                </c:pt>
                <c:pt idx="17">
                  <c:v>2132.3356899999999</c:v>
                </c:pt>
                <c:pt idx="18">
                  <c:v>2074.614943</c:v>
                </c:pt>
                <c:pt idx="19">
                  <c:v>2164.6532780000002</c:v>
                </c:pt>
                <c:pt idx="20">
                  <c:v>2198</c:v>
                </c:pt>
                <c:pt idx="21">
                  <c:v>2229</c:v>
                </c:pt>
                <c:pt idx="22">
                  <c:v>1867</c:v>
                </c:pt>
                <c:pt idx="23">
                  <c:v>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Semapa!$C$27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5-4455-B9D4-66E14CD40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Semapa!$H$27:$AE$27</c:f>
              <c:numCache>
                <c:formatCode>0.0</c:formatCode>
                <c:ptCount val="24"/>
                <c:pt idx="0">
                  <c:v>1.0329981861142072</c:v>
                </c:pt>
                <c:pt idx="1">
                  <c:v>0.96446455668434095</c:v>
                </c:pt>
                <c:pt idx="2">
                  <c:v>0.91287463131652236</c:v>
                </c:pt>
                <c:pt idx="3">
                  <c:v>1.0536482381473702</c:v>
                </c:pt>
                <c:pt idx="4">
                  <c:v>0.73701711274438031</c:v>
                </c:pt>
                <c:pt idx="5">
                  <c:v>0.94394434155687801</c:v>
                </c:pt>
                <c:pt idx="6">
                  <c:v>0.60930229848664741</c:v>
                </c:pt>
                <c:pt idx="7">
                  <c:v>0.48759411440590517</c:v>
                </c:pt>
                <c:pt idx="8">
                  <c:v>0.64285713266464972</c:v>
                </c:pt>
                <c:pt idx="9">
                  <c:v>0.66631075210628721</c:v>
                </c:pt>
                <c:pt idx="10">
                  <c:v>0.46502140372958722</c:v>
                </c:pt>
                <c:pt idx="11">
                  <c:v>0.57442285214636135</c:v>
                </c:pt>
                <c:pt idx="12">
                  <c:v>0.52342198158608511</c:v>
                </c:pt>
                <c:pt idx="13">
                  <c:v>0.32190575109007041</c:v>
                </c:pt>
                <c:pt idx="14">
                  <c:v>0.31077217799316531</c:v>
                </c:pt>
                <c:pt idx="15">
                  <c:v>0.43655635864067482</c:v>
                </c:pt>
                <c:pt idx="16">
                  <c:v>0.526461425336616</c:v>
                </c:pt>
                <c:pt idx="17">
                  <c:v>0.48627340758902737</c:v>
                </c:pt>
                <c:pt idx="18">
                  <c:v>0.52447322992216594</c:v>
                </c:pt>
                <c:pt idx="19">
                  <c:v>0.66327755120744103</c:v>
                </c:pt>
                <c:pt idx="20">
                  <c:v>0.48087174253867149</c:v>
                </c:pt>
                <c:pt idx="21">
                  <c:v>0.49408003589053384</c:v>
                </c:pt>
                <c:pt idx="22">
                  <c:v>0.38894110283877881</c:v>
                </c:pt>
                <c:pt idx="23">
                  <c:v>0.45230961476282666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Semapa!$C$7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Semapa!$H$7:$AE$7</c:f>
              <c:numCache>
                <c:formatCode>#,##0</c:formatCode>
                <c:ptCount val="24"/>
                <c:pt idx="0">
                  <c:v>135.82022000000001</c:v>
                </c:pt>
                <c:pt idx="1">
                  <c:v>159.69648000000001</c:v>
                </c:pt>
                <c:pt idx="2">
                  <c:v>162.84451899999999</c:v>
                </c:pt>
                <c:pt idx="3">
                  <c:v>160.19987900000001</c:v>
                </c:pt>
                <c:pt idx="4">
                  <c:v>164.64709499999998</c:v>
                </c:pt>
                <c:pt idx="5">
                  <c:v>111.549815</c:v>
                </c:pt>
                <c:pt idx="6">
                  <c:v>353.50927300000001</c:v>
                </c:pt>
                <c:pt idx="7">
                  <c:v>726.87868900000001</c:v>
                </c:pt>
                <c:pt idx="8">
                  <c:v>413.68422999999996</c:v>
                </c:pt>
                <c:pt idx="9">
                  <c:v>420.12087500000001</c:v>
                </c:pt>
                <c:pt idx="10">
                  <c:v>341.088099</c:v>
                </c:pt>
                <c:pt idx="11">
                  <c:v>314.50804500000004</c:v>
                </c:pt>
                <c:pt idx="12">
                  <c:v>449.19535099999996</c:v>
                </c:pt>
                <c:pt idx="13">
                  <c:v>428.59244000000001</c:v>
                </c:pt>
                <c:pt idx="14">
                  <c:v>504.29499400000003</c:v>
                </c:pt>
                <c:pt idx="15">
                  <c:v>408.008915</c:v>
                </c:pt>
                <c:pt idx="16">
                  <c:v>398.32267000000002</c:v>
                </c:pt>
                <c:pt idx="17">
                  <c:v>487.14896999999996</c:v>
                </c:pt>
                <c:pt idx="18">
                  <c:v>489.1</c:v>
                </c:pt>
                <c:pt idx="19">
                  <c:v>500.7</c:v>
                </c:pt>
                <c:pt idx="20">
                  <c:v>548.5</c:v>
                </c:pt>
                <c:pt idx="21">
                  <c:v>486.8</c:v>
                </c:pt>
                <c:pt idx="22">
                  <c:v>419.3</c:v>
                </c:pt>
                <c:pt idx="23">
                  <c:v>459.8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Semapa!$C$28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5-4455-B9D4-66E14CD40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Semapa!$H$28:$AE$28</c:f>
              <c:numCache>
                <c:formatCode>0.0</c:formatCode>
                <c:ptCount val="24"/>
                <c:pt idx="0">
                  <c:v>2.7627697849407107</c:v>
                </c:pt>
                <c:pt idx="1">
                  <c:v>2.3940414967192765</c:v>
                </c:pt>
                <c:pt idx="2">
                  <c:v>2.6080705854152821</c:v>
                </c:pt>
                <c:pt idx="3">
                  <c:v>3.2925118501493991</c:v>
                </c:pt>
                <c:pt idx="4">
                  <c:v>2.1981560014769777</c:v>
                </c:pt>
                <c:pt idx="5">
                  <c:v>3.5356401084125508</c:v>
                </c:pt>
                <c:pt idx="6">
                  <c:v>1.2698959667742578</c:v>
                </c:pt>
                <c:pt idx="7">
                  <c:v>1.0261409658689278</c:v>
                </c:pt>
                <c:pt idx="8">
                  <c:v>2.3413993808756017</c:v>
                </c:pt>
                <c:pt idx="9">
                  <c:v>2.2270733393097877</c:v>
                </c:pt>
                <c:pt idx="10">
                  <c:v>1.9655918865700444</c:v>
                </c:pt>
                <c:pt idx="11">
                  <c:v>2.5869926475171723</c:v>
                </c:pt>
                <c:pt idx="12">
                  <c:v>1.9672064682610666</c:v>
                </c:pt>
                <c:pt idx="13">
                  <c:v>1.3367244648552365</c:v>
                </c:pt>
                <c:pt idx="14">
                  <c:v>1.2032838065412166</c:v>
                </c:pt>
                <c:pt idx="15">
                  <c:v>2.1297818945941414</c:v>
                </c:pt>
                <c:pt idx="16">
                  <c:v>2.6409543800256214</c:v>
                </c:pt>
                <c:pt idx="17">
                  <c:v>2.1285032011871028</c:v>
                </c:pt>
                <c:pt idx="18">
                  <c:v>2.2246575342465755</c:v>
                </c:pt>
                <c:pt idx="19">
                  <c:v>2.8675173266327145</c:v>
                </c:pt>
                <c:pt idx="20">
                  <c:v>1.9269937832269826</c:v>
                </c:pt>
                <c:pt idx="21">
                  <c:v>2.2623344289235825</c:v>
                </c:pt>
                <c:pt idx="22">
                  <c:v>1.7318221774385882</c:v>
                </c:pt>
                <c:pt idx="23">
                  <c:v>2.0323437670726401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Semapa!$C$32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3-49E4-B0CC-30A3857215DF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3-49E4-B0CC-30A385721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Semapa!$H$32:$AE$32</c:f>
              <c:numCache>
                <c:formatCode>0.0</c:formatCode>
                <c:ptCount val="24"/>
                <c:pt idx="0">
                  <c:v>0.37389948005978196</c:v>
                </c:pt>
                <c:pt idx="1">
                  <c:v>0.40286041741799988</c:v>
                </c:pt>
                <c:pt idx="2">
                  <c:v>0.35001914304829512</c:v>
                </c:pt>
                <c:pt idx="3">
                  <c:v>0.3200134991464223</c:v>
                </c:pt>
                <c:pt idx="4">
                  <c:v>0.33528881128053073</c:v>
                </c:pt>
                <c:pt idx="5">
                  <c:v>0.26697975829352577</c:v>
                </c:pt>
                <c:pt idx="6" formatCode="0.0%">
                  <c:v>0.4798048930215712</c:v>
                </c:pt>
                <c:pt idx="7" formatCode="0.0%">
                  <c:v>0.47517264257451652</c:v>
                </c:pt>
                <c:pt idx="8" formatCode="0.0%">
                  <c:v>0.27456107570347249</c:v>
                </c:pt>
                <c:pt idx="9" formatCode="0.0%">
                  <c:v>0.29918671304861005</c:v>
                </c:pt>
                <c:pt idx="10" formatCode="0.0%">
                  <c:v>0.23658085226483563</c:v>
                </c:pt>
                <c:pt idx="11" formatCode="0.0%">
                  <c:v>0.22204270765812001</c:v>
                </c:pt>
                <c:pt idx="12" formatCode="0.0%">
                  <c:v>0.26607373960536518</c:v>
                </c:pt>
                <c:pt idx="13" formatCode="0.0%">
                  <c:v>0.2408168321546594</c:v>
                </c:pt>
                <c:pt idx="14" formatCode="0.0%">
                  <c:v>0.25827005757391974</c:v>
                </c:pt>
                <c:pt idx="15" formatCode="0.0%">
                  <c:v>0.20497702593338391</c:v>
                </c:pt>
                <c:pt idx="16" formatCode="0.0%">
                  <c:v>0.19934514178601923</c:v>
                </c:pt>
                <c:pt idx="17" formatCode="0.0%">
                  <c:v>0.22845791696147055</c:v>
                </c:pt>
                <c:pt idx="18" formatCode="0.0%">
                  <c:v>0.23575459226796863</c:v>
                </c:pt>
                <c:pt idx="19" formatCode="0.0%">
                  <c:v>0.23130725141469974</c:v>
                </c:pt>
                <c:pt idx="20" formatCode="0.0%">
                  <c:v>0.24954504094631483</c:v>
                </c:pt>
                <c:pt idx="21" formatCode="0.0%">
                  <c:v>0.21839389860924183</c:v>
                </c:pt>
                <c:pt idx="22" formatCode="0.0%">
                  <c:v>0.22458489555436531</c:v>
                </c:pt>
                <c:pt idx="23" formatCode="0.0%">
                  <c:v>0.22255566311713457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Semapa!$C$33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93-49E4-B0CC-30A3857215DF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3-49E4-B0CC-30A385721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Semapa!$H$33:$AE$33</c:f>
              <c:numCache>
                <c:formatCode>0.0</c:formatCode>
                <c:ptCount val="24"/>
                <c:pt idx="0">
                  <c:v>0.23391882468789682</c:v>
                </c:pt>
                <c:pt idx="1">
                  <c:v>0.27458241853160426</c:v>
                </c:pt>
                <c:pt idx="2">
                  <c:v>0.22323935885356888</c:v>
                </c:pt>
                <c:pt idx="3">
                  <c:v>0.2002832025722297</c:v>
                </c:pt>
                <c:pt idx="4">
                  <c:v>0.20679416431430381</c:v>
                </c:pt>
                <c:pt idx="5">
                  <c:v>9.755359854906373E-2</c:v>
                </c:pt>
                <c:pt idx="6" formatCode="0.0%">
                  <c:v>0.3743326862647523</c:v>
                </c:pt>
                <c:pt idx="7" formatCode="0.0%">
                  <c:v>0.36464176266326148</c:v>
                </c:pt>
                <c:pt idx="8" formatCode="0.0%">
                  <c:v>0.18296880509879551</c:v>
                </c:pt>
                <c:pt idx="9" formatCode="0.0%">
                  <c:v>0.21598671616609325</c:v>
                </c:pt>
                <c:pt idx="10" formatCode="0.0%">
                  <c:v>0.15044948437998243</c:v>
                </c:pt>
                <c:pt idx="11" formatCode="0.0%">
                  <c:v>0.10887765268881543</c:v>
                </c:pt>
                <c:pt idx="12" formatCode="0.0%">
                  <c:v>0.16752110036348467</c:v>
                </c:pt>
                <c:pt idx="13" formatCode="0.0%">
                  <c:v>0.1478515463408383</c:v>
                </c:pt>
                <c:pt idx="14" formatCode="0.0%">
                  <c:v>0.1559378049987504</c:v>
                </c:pt>
                <c:pt idx="15" formatCode="0.0%">
                  <c:v>0.11986888906905038</c:v>
                </c:pt>
                <c:pt idx="16" formatCode="0.0%">
                  <c:v>0.11312185184285727</c:v>
                </c:pt>
                <c:pt idx="17" formatCode="0.0%">
                  <c:v>0.13501076324431824</c:v>
                </c:pt>
                <c:pt idx="18" formatCode="0.0%">
                  <c:v>0.11787031893561369</c:v>
                </c:pt>
                <c:pt idx="19" formatCode="0.0%">
                  <c:v>0.12577626946868486</c:v>
                </c:pt>
                <c:pt idx="20" formatCode="0.0%">
                  <c:v>0.14272065514103729</c:v>
                </c:pt>
                <c:pt idx="21" formatCode="0.0%">
                  <c:v>0.10810228802153432</c:v>
                </c:pt>
                <c:pt idx="22" formatCode="0.0%">
                  <c:v>0.10669523299410819</c:v>
                </c:pt>
                <c:pt idx="23" formatCode="0.0%">
                  <c:v>0.12159244917715392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Semapa!$C$35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3-49E4-B0CC-30A3857215DF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3-49E4-B0CC-30A385721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Semapa!$H$35:$AE$35</c:f>
              <c:numCache>
                <c:formatCode>0.0</c:formatCode>
                <c:ptCount val="24"/>
                <c:pt idx="0">
                  <c:v>6.760054210106281E-2</c:v>
                </c:pt>
                <c:pt idx="1">
                  <c:v>8.4424843408210687E-2</c:v>
                </c:pt>
                <c:pt idx="2">
                  <c:v>6.6125744331033701E-2</c:v>
                </c:pt>
                <c:pt idx="3">
                  <c:v>8.8185675184566825E-2</c:v>
                </c:pt>
                <c:pt idx="4">
                  <c:v>6.2797034803720952E-2</c:v>
                </c:pt>
                <c:pt idx="5">
                  <c:v>9.5908897595669174E-2</c:v>
                </c:pt>
                <c:pt idx="6" formatCode="0.0%">
                  <c:v>0.28315916298010185</c:v>
                </c:pt>
                <c:pt idx="7" formatCode="0.0%">
                  <c:v>0.26064827135828644</c:v>
                </c:pt>
                <c:pt idx="8" formatCode="0.0%">
                  <c:v>6.0661442579701914E-2</c:v>
                </c:pt>
                <c:pt idx="9" formatCode="0.0%">
                  <c:v>8.6846404621108195E-2</c:v>
                </c:pt>
                <c:pt idx="10" formatCode="0.0%">
                  <c:v>9.5291397560632013E-2</c:v>
                </c:pt>
                <c:pt idx="11" formatCode="0.0%">
                  <c:v>7.4654607618469399E-2</c:v>
                </c:pt>
                <c:pt idx="12" formatCode="0.0%">
                  <c:v>0.10327200755875221</c:v>
                </c:pt>
                <c:pt idx="13" formatCode="0.0%">
                  <c:v>9.503911547628742E-2</c:v>
                </c:pt>
                <c:pt idx="14" formatCode="0.0%">
                  <c:v>8.7350682357341114E-2</c:v>
                </c:pt>
                <c:pt idx="15" formatCode="0.0%">
                  <c:v>9.6027160598739766E-2</c:v>
                </c:pt>
                <c:pt idx="16" formatCode="0.0%">
                  <c:v>7.6203648802989743E-2</c:v>
                </c:pt>
                <c:pt idx="17" formatCode="0.0%">
                  <c:v>6.1334854363385906E-2</c:v>
                </c:pt>
                <c:pt idx="18" formatCode="0.0%">
                  <c:v>5.5383771522366794E-2</c:v>
                </c:pt>
                <c:pt idx="19" formatCode="0.0%">
                  <c:v>5.7330197524594041E-2</c:v>
                </c:pt>
                <c:pt idx="20" formatCode="0.0%">
                  <c:v>6.0327570518653319E-2</c:v>
                </c:pt>
                <c:pt idx="21" formatCode="0.0%">
                  <c:v>5.5652759084791385E-2</c:v>
                </c:pt>
                <c:pt idx="22" formatCode="0.0%">
                  <c:v>5.7096946973754684E-2</c:v>
                </c:pt>
                <c:pt idx="23" formatCode="0.0%">
                  <c:v>5.4845111326234271E-2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Semapa!$C$12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Semapa!$H$12:$AE$12</c:f>
              <c:numCache>
                <c:formatCode>#,##0</c:formatCode>
                <c:ptCount val="24"/>
                <c:pt idx="0">
                  <c:v>24.55612</c:v>
                </c:pt>
                <c:pt idx="1">
                  <c:v>33.466555</c:v>
                </c:pt>
                <c:pt idx="2">
                  <c:v>30.764645999999999</c:v>
                </c:pt>
                <c:pt idx="3">
                  <c:v>44.146057999999996</c:v>
                </c:pt>
                <c:pt idx="4">
                  <c:v>30.837143999999999</c:v>
                </c:pt>
                <c:pt idx="5">
                  <c:v>40.072775</c:v>
                </c:pt>
                <c:pt idx="6">
                  <c:v>208.62519599999999</c:v>
                </c:pt>
                <c:pt idx="7">
                  <c:v>398.71755400000001</c:v>
                </c:pt>
                <c:pt idx="8">
                  <c:v>91.399270999999999</c:v>
                </c:pt>
                <c:pt idx="9">
                  <c:v>121.95056099999999</c:v>
                </c:pt>
                <c:pt idx="10">
                  <c:v>137.38542799999999</c:v>
                </c:pt>
                <c:pt idx="11">
                  <c:v>105.74305699999999</c:v>
                </c:pt>
                <c:pt idx="12">
                  <c:v>174.347554</c:v>
                </c:pt>
                <c:pt idx="13">
                  <c:v>169.14534599999999</c:v>
                </c:pt>
                <c:pt idx="14">
                  <c:v>170.559887</c:v>
                </c:pt>
                <c:pt idx="15">
                  <c:v>191.143068</c:v>
                </c:pt>
                <c:pt idx="16">
                  <c:v>152.26677000000001</c:v>
                </c:pt>
                <c:pt idx="17">
                  <c:v>130.78649899999999</c:v>
                </c:pt>
                <c:pt idx="18">
                  <c:v>114.9</c:v>
                </c:pt>
                <c:pt idx="19">
                  <c:v>124.1</c:v>
                </c:pt>
                <c:pt idx="20">
                  <c:v>132.6</c:v>
                </c:pt>
                <c:pt idx="21">
                  <c:v>124.05</c:v>
                </c:pt>
                <c:pt idx="22">
                  <c:v>106.6</c:v>
                </c:pt>
                <c:pt idx="23">
                  <c:v>113.31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Semapa!$C$36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43-4BD2-8713-70362FDBD74D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Semapa!$H$36:$AE$36</c:f>
              <c:numCache>
                <c:formatCode>0.0</c:formatCode>
                <c:ptCount val="24"/>
                <c:pt idx="0">
                  <c:v>15.280915714697599</c:v>
                </c:pt>
                <c:pt idx="1">
                  <c:v>11.423942500206552</c:v>
                </c:pt>
                <c:pt idx="2">
                  <c:v>13.805132033698682</c:v>
                </c:pt>
                <c:pt idx="3">
                  <c:v>11.94806566873989</c:v>
                </c:pt>
                <c:pt idx="4">
                  <c:v>11.736495441990348</c:v>
                </c:pt>
                <c:pt idx="5">
                  <c:v>9.8420935410637274</c:v>
                </c:pt>
                <c:pt idx="6">
                  <c:v>2.1518014535502226</c:v>
                </c:pt>
                <c:pt idx="7">
                  <c:v>1.8706976718662354</c:v>
                </c:pt>
                <c:pt idx="8">
                  <c:v>10.59745870401964</c:v>
                </c:pt>
                <c:pt idx="9">
                  <c:v>7.6722894288284573</c:v>
                </c:pt>
                <c:pt idx="10">
                  <c:v>4.879993531773982</c:v>
                </c:pt>
                <c:pt idx="11">
                  <c:v>7.6944058842558336</c:v>
                </c:pt>
                <c:pt idx="12">
                  <c:v>5.0683819745472318</c:v>
                </c:pt>
                <c:pt idx="13">
                  <c:v>3.3870869849413423</c:v>
                </c:pt>
                <c:pt idx="14">
                  <c:v>3.5577532951812993</c:v>
                </c:pt>
                <c:pt idx="15">
                  <c:v>4.5461758519016762</c:v>
                </c:pt>
                <c:pt idx="16">
                  <c:v>6.9086117739280883</c:v>
                </c:pt>
                <c:pt idx="17">
                  <c:v>7.9281741619217128</c:v>
                </c:pt>
                <c:pt idx="18">
                  <c:v>9.4697998259355973</c:v>
                </c:pt>
                <c:pt idx="19">
                  <c:v>11.569427279975828</c:v>
                </c:pt>
                <c:pt idx="20">
                  <c:v>7.9710112375565609</c:v>
                </c:pt>
                <c:pt idx="21">
                  <c:v>8.8779072954453842</c:v>
                </c:pt>
                <c:pt idx="22">
                  <c:v>6.8119422045028148</c:v>
                </c:pt>
                <c:pt idx="23">
                  <c:v>8.247036131850674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'Benfica SAD'!$C$37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'Benfica SAD'!$D$3:$S$3</c:f>
              <c:numCache>
                <c:formatCode>General</c:formatCode>
                <c:ptCount val="1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</c:numCache>
            </c:numRef>
          </c:cat>
          <c:val>
            <c:numRef>
              <c:f>'Benfica SAD'!$D$37:$S$37</c:f>
              <c:numCache>
                <c:formatCode>0.0</c:formatCode>
                <c:ptCount val="16"/>
                <c:pt idx="0">
                  <c:v>7.6750879437160213</c:v>
                </c:pt>
                <c:pt idx="1">
                  <c:v>1.5710424752716823</c:v>
                </c:pt>
                <c:pt idx="2">
                  <c:v>1.3674454985061635</c:v>
                </c:pt>
                <c:pt idx="3">
                  <c:v>-3.24422032607086</c:v>
                </c:pt>
                <c:pt idx="4">
                  <c:v>4.6932432432432423</c:v>
                </c:pt>
                <c:pt idx="5">
                  <c:v>6.6124999999999998</c:v>
                </c:pt>
                <c:pt idx="6">
                  <c:v>-0.66408450704225352</c:v>
                </c:pt>
                <c:pt idx="7">
                  <c:v>-0.81176470588235294</c:v>
                </c:pt>
                <c:pt idx="8">
                  <c:v>-2.4913700749910723</c:v>
                </c:pt>
                <c:pt idx="9">
                  <c:v>41.600000000000009</c:v>
                </c:pt>
                <c:pt idx="10">
                  <c:v>1.0783657066309442</c:v>
                </c:pt>
                <c:pt idx="11">
                  <c:v>0.3905096557018839</c:v>
                </c:pt>
                <c:pt idx="12">
                  <c:v>0.44769243172891976</c:v>
                </c:pt>
                <c:pt idx="13">
                  <c:v>0.87986577181208048</c:v>
                </c:pt>
                <c:pt idx="14">
                  <c:v>0.65816263190564872</c:v>
                </c:pt>
                <c:pt idx="15">
                  <c:v>0.62581767571329172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'Benfica SAD'!$C$41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'Benfica SAD'!$D$41:$S$41</c:f>
              <c:numCache>
                <c:formatCode>0.0</c:formatCode>
                <c:ptCount val="16"/>
                <c:pt idx="0">
                  <c:v>0.3316831683168317</c:v>
                </c:pt>
                <c:pt idx="1">
                  <c:v>0.44945355191256825</c:v>
                </c:pt>
                <c:pt idx="2">
                  <c:v>0.50650012717374027</c:v>
                </c:pt>
                <c:pt idx="3">
                  <c:v>0.32122611531285306</c:v>
                </c:pt>
                <c:pt idx="4">
                  <c:v>0.33608978145304191</c:v>
                </c:pt>
                <c:pt idx="5">
                  <c:v>0.3451957295373666</c:v>
                </c:pt>
                <c:pt idx="6">
                  <c:v>0.30034789331271744</c:v>
                </c:pt>
                <c:pt idx="7">
                  <c:v>0.29613095238095233</c:v>
                </c:pt>
                <c:pt idx="8">
                  <c:v>0.38368425689366575</c:v>
                </c:pt>
                <c:pt idx="9">
                  <c:v>0.2797500046710637</c:v>
                </c:pt>
                <c:pt idx="10">
                  <c:v>0.44077957610643953</c:v>
                </c:pt>
                <c:pt idx="11">
                  <c:v>0.65332449808256265</c:v>
                </c:pt>
                <c:pt idx="12">
                  <c:v>0.46224811170879904</c:v>
                </c:pt>
                <c:pt idx="13">
                  <c:v>1.3637540453074433</c:v>
                </c:pt>
                <c:pt idx="14">
                  <c:v>0.64092140921409213</c:v>
                </c:pt>
                <c:pt idx="15">
                  <c:v>0.51928934010152283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'Benfica SAD'!$C$45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'Benfica SAD'!$D$45:$S$45</c:f>
              <c:numCache>
                <c:formatCode>0.00</c:formatCode>
                <c:ptCount val="16"/>
                <c:pt idx="0">
                  <c:v>12.950431723696834</c:v>
                </c:pt>
                <c:pt idx="1">
                  <c:v>6.7611994926754733</c:v>
                </c:pt>
                <c:pt idx="2">
                  <c:v>5.4286120302298357</c:v>
                </c:pt>
                <c:pt idx="3">
                  <c:v>-15.151247502374432</c:v>
                </c:pt>
                <c:pt idx="4">
                  <c:v>50.513513513513516</c:v>
                </c:pt>
                <c:pt idx="5">
                  <c:v>158.16666666666669</c:v>
                </c:pt>
                <c:pt idx="6">
                  <c:v>-30.007042253521131</c:v>
                </c:pt>
                <c:pt idx="7">
                  <c:v>-18.508403361344538</c:v>
                </c:pt>
                <c:pt idx="8">
                  <c:v>-53.455541007022973</c:v>
                </c:pt>
                <c:pt idx="9">
                  <c:v>747.19130434782608</c:v>
                </c:pt>
                <c:pt idx="10">
                  <c:v>21.791024782317482</c:v>
                </c:pt>
                <c:pt idx="11">
                  <c:v>6.4715791649441927</c:v>
                </c:pt>
                <c:pt idx="12">
                  <c:v>4.586964283657557</c:v>
                </c:pt>
                <c:pt idx="13">
                  <c:v>3.0587248322147653</c:v>
                </c:pt>
                <c:pt idx="14">
                  <c:v>2.0229671011793915</c:v>
                </c:pt>
                <c:pt idx="15">
                  <c:v>2.6416144745998613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Semapa!$C$38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5-4AC7-92CF-F7460D2E93D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5-4AC7-92CF-F7460D2E9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Semapa!$H$38:$AE$38</c:f>
              <c:numCache>
                <c:formatCode>0%</c:formatCode>
                <c:ptCount val="24"/>
                <c:pt idx="0">
                  <c:v>0.47818131830362481</c:v>
                </c:pt>
                <c:pt idx="1">
                  <c:v>0.61020609194466013</c:v>
                </c:pt>
                <c:pt idx="2">
                  <c:v>0.53558706150958901</c:v>
                </c:pt>
                <c:pt idx="3">
                  <c:v>0.50879847468557604</c:v>
                </c:pt>
                <c:pt idx="4">
                  <c:v>0.45230359425081318</c:v>
                </c:pt>
                <c:pt idx="5">
                  <c:v>0.17153026493713178</c:v>
                </c:pt>
                <c:pt idx="6">
                  <c:v>0.31197290708211423</c:v>
                </c:pt>
                <c:pt idx="7">
                  <c:v>0.44747236859605943</c:v>
                </c:pt>
                <c:pt idx="8">
                  <c:v>0.21839980011557189</c:v>
                </c:pt>
                <c:pt idx="9">
                  <c:v>0.2886563077767354</c:v>
                </c:pt>
                <c:pt idx="10">
                  <c:v>0.19293185465490034</c:v>
                </c:pt>
                <c:pt idx="11">
                  <c:v>0.13168394985990364</c:v>
                </c:pt>
                <c:pt idx="12">
                  <c:v>0.22735408731147058</c:v>
                </c:pt>
                <c:pt idx="13">
                  <c:v>0.19040100904134097</c:v>
                </c:pt>
                <c:pt idx="14">
                  <c:v>0.26918186728949295</c:v>
                </c:pt>
                <c:pt idx="15">
                  <c:v>0.19738642674132337</c:v>
                </c:pt>
                <c:pt idx="16">
                  <c:v>0.18275462363242737</c:v>
                </c:pt>
                <c:pt idx="17">
                  <c:v>0.40191018986458188</c:v>
                </c:pt>
                <c:pt idx="18">
                  <c:v>0.29919922305151109</c:v>
                </c:pt>
                <c:pt idx="19">
                  <c:v>0.32281481384870764</c:v>
                </c:pt>
                <c:pt idx="20">
                  <c:v>0.35231356693620847</c:v>
                </c:pt>
                <c:pt idx="21">
                  <c:v>0.250843222985634</c:v>
                </c:pt>
                <c:pt idx="22">
                  <c:v>0.20994940978077573</c:v>
                </c:pt>
                <c:pt idx="23">
                  <c:v>0.24635677159949004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Semapa!$C$39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A5-4AC7-92CF-F7460D2E93D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5-4AC7-92CF-F7460D2E9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Semapa!$H$39:$AE$39</c:f>
              <c:numCache>
                <c:formatCode>0%</c:formatCode>
                <c:ptCount val="24"/>
                <c:pt idx="0">
                  <c:v>0.13819031616226501</c:v>
                </c:pt>
                <c:pt idx="1">
                  <c:v>0.18761781629960633</c:v>
                </c:pt>
                <c:pt idx="2">
                  <c:v>0.1586462767061764</c:v>
                </c:pt>
                <c:pt idx="3">
                  <c:v>0.22402646076544483</c:v>
                </c:pt>
                <c:pt idx="4">
                  <c:v>0.13735070640990887</c:v>
                </c:pt>
                <c:pt idx="5">
                  <c:v>0.1686383573655599</c:v>
                </c:pt>
                <c:pt idx="6">
                  <c:v>0.23598790723651153</c:v>
                </c:pt>
                <c:pt idx="7">
                  <c:v>0.31985611988956059</c:v>
                </c:pt>
                <c:pt idx="8">
                  <c:v>7.2408227877837045E-2</c:v>
                </c:pt>
                <c:pt idx="9">
                  <c:v>0.11606622363912272</c:v>
                </c:pt>
                <c:pt idx="10">
                  <c:v>0.12219879742224163</c:v>
                </c:pt>
                <c:pt idx="11">
                  <c:v>9.0292299325545486E-2</c:v>
                </c:pt>
                <c:pt idx="12">
                  <c:v>0.14015734717834563</c:v>
                </c:pt>
                <c:pt idx="13">
                  <c:v>0.12238995081841395</c:v>
                </c:pt>
                <c:pt idx="14">
                  <c:v>0.15078588406543797</c:v>
                </c:pt>
                <c:pt idx="15">
                  <c:v>0.15812658520412029</c:v>
                </c:pt>
                <c:pt idx="16">
                  <c:v>0.12311121971159117</c:v>
                </c:pt>
                <c:pt idx="17">
                  <c:v>0.18258620550048862</c:v>
                </c:pt>
                <c:pt idx="18">
                  <c:v>0.14058485256331826</c:v>
                </c:pt>
                <c:pt idx="19">
                  <c:v>0.14714251837799383</c:v>
                </c:pt>
                <c:pt idx="20">
                  <c:v>0.14892183288409702</c:v>
                </c:pt>
                <c:pt idx="21">
                  <c:v>0.12913803872579638</c:v>
                </c:pt>
                <c:pt idx="22">
                  <c:v>0.11235244519392917</c:v>
                </c:pt>
                <c:pt idx="23">
                  <c:v>0.11112091791703442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Semapa!$C$37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Semapa!$H$3:$AE$3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Semapa!$H$37:$AE$37</c:f>
              <c:numCache>
                <c:formatCode>0.0</c:formatCode>
                <c:ptCount val="24"/>
                <c:pt idx="0">
                  <c:v>2.111674573862985</c:v>
                </c:pt>
                <c:pt idx="1">
                  <c:v>2.1433351454210183</c:v>
                </c:pt>
                <c:pt idx="2">
                  <c:v>2.1901327965834607</c:v>
                </c:pt>
                <c:pt idx="3">
                  <c:v>2.6766828647609153</c:v>
                </c:pt>
                <c:pt idx="4">
                  <c:v>1.6120159397340501</c:v>
                </c:pt>
                <c:pt idx="5">
                  <c:v>1.6597544878031736</c:v>
                </c:pt>
                <c:pt idx="6">
                  <c:v>0.50779912181180054</c:v>
                </c:pt>
                <c:pt idx="7">
                  <c:v>0.59835409880956847</c:v>
                </c:pt>
                <c:pt idx="8">
                  <c:v>0.76734320476662188</c:v>
                </c:pt>
                <c:pt idx="9">
                  <c:v>0.89049366067048086</c:v>
                </c:pt>
                <c:pt idx="10">
                  <c:v>0.59632934101109825</c:v>
                </c:pt>
                <c:pt idx="11">
                  <c:v>0.69474559923346624</c:v>
                </c:pt>
                <c:pt idx="12">
                  <c:v>0.71037097203908528</c:v>
                </c:pt>
                <c:pt idx="13">
                  <c:v>0.41454540950466084</c:v>
                </c:pt>
                <c:pt idx="14">
                  <c:v>0.53645897590063729</c:v>
                </c:pt>
                <c:pt idx="15">
                  <c:v>0.71887126319864458</c:v>
                </c:pt>
                <c:pt idx="16">
                  <c:v>0.85052762200214638</c:v>
                </c:pt>
                <c:pt idx="17">
                  <c:v>1.447575236772302</c:v>
                </c:pt>
                <c:pt idx="18">
                  <c:v>1.3313104123332928</c:v>
                </c:pt>
                <c:pt idx="19">
                  <c:v>1.7023546661667064</c:v>
                </c:pt>
                <c:pt idx="20">
                  <c:v>1.1870576034366578</c:v>
                </c:pt>
                <c:pt idx="21">
                  <c:v>1.1464755361232564</c:v>
                </c:pt>
                <c:pt idx="22">
                  <c:v>0.76533836319561555</c:v>
                </c:pt>
                <c:pt idx="23">
                  <c:v>0.91641822506619575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Semapa!$C$41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Semapa!$H$41:$AE$41</c:f>
              <c:numCache>
                <c:formatCode>0.0</c:formatCode>
                <c:ptCount val="24"/>
                <c:pt idx="0">
                  <c:v>1.7177716477487064</c:v>
                </c:pt>
                <c:pt idx="1">
                  <c:v>0.99270478371952942</c:v>
                </c:pt>
                <c:pt idx="2">
                  <c:v>1.3514067597321728</c:v>
                </c:pt>
                <c:pt idx="3">
                  <c:v>2.1928160928043035</c:v>
                </c:pt>
                <c:pt idx="4">
                  <c:v>1.1386049150574333</c:v>
                </c:pt>
                <c:pt idx="5">
                  <c:v>2.5087133235617416</c:v>
                </c:pt>
                <c:pt idx="6">
                  <c:v>1.0070234524946748</c:v>
                </c:pt>
                <c:pt idx="7">
                  <c:v>1.7058470078983292</c:v>
                </c:pt>
                <c:pt idx="8">
                  <c:v>2.046433242854548</c:v>
                </c:pt>
                <c:pt idx="9">
                  <c:v>1.9388248515745743</c:v>
                </c:pt>
                <c:pt idx="10">
                  <c:v>1.8272235000592587</c:v>
                </c:pt>
                <c:pt idx="11">
                  <c:v>0.64759935274614333</c:v>
                </c:pt>
                <c:pt idx="12">
                  <c:v>1.4165587589865896</c:v>
                </c:pt>
                <c:pt idx="13">
                  <c:v>1.4533081443273268</c:v>
                </c:pt>
                <c:pt idx="14">
                  <c:v>1.2289743225704921</c:v>
                </c:pt>
                <c:pt idx="15">
                  <c:v>1.7761010587257915</c:v>
                </c:pt>
                <c:pt idx="16">
                  <c:v>1.063989620530299</c:v>
                </c:pt>
                <c:pt idx="17">
                  <c:v>0.91265881958656114</c:v>
                </c:pt>
                <c:pt idx="18">
                  <c:v>1.1818418105023654</c:v>
                </c:pt>
                <c:pt idx="19">
                  <c:v>1.4006437141784838</c:v>
                </c:pt>
                <c:pt idx="20">
                  <c:v>1.0876511226252159</c:v>
                </c:pt>
                <c:pt idx="21">
                  <c:v>1.0055999170382661</c:v>
                </c:pt>
                <c:pt idx="22">
                  <c:v>1.0015552099533438</c:v>
                </c:pt>
                <c:pt idx="23">
                  <c:v>1.1091915085817523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Semapa!$C$45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Semapa!$H$45:$AE$45</c:f>
              <c:numCache>
                <c:formatCode>0.0</c:formatCode>
                <c:ptCount val="24"/>
                <c:pt idx="0">
                  <c:v>1.0149573009710557</c:v>
                </c:pt>
                <c:pt idx="1">
                  <c:v>1.2989745101098402</c:v>
                </c:pt>
                <c:pt idx="2">
                  <c:v>2.9607655430740349</c:v>
                </c:pt>
                <c:pt idx="3">
                  <c:v>3.019104013269478</c:v>
                </c:pt>
                <c:pt idx="4">
                  <c:v>2.3587291066229659</c:v>
                </c:pt>
                <c:pt idx="5">
                  <c:v>3.7226718709228122</c:v>
                </c:pt>
                <c:pt idx="6">
                  <c:v>3.3403808518525278</c:v>
                </c:pt>
                <c:pt idx="7">
                  <c:v>1.7866012439337928</c:v>
                </c:pt>
                <c:pt idx="8">
                  <c:v>1.8011897747495078</c:v>
                </c:pt>
                <c:pt idx="9">
                  <c:v>2.0999768246464612</c:v>
                </c:pt>
                <c:pt idx="10">
                  <c:v>1.9178530716318722</c:v>
                </c:pt>
                <c:pt idx="11">
                  <c:v>1.8805423465092515</c:v>
                </c:pt>
                <c:pt idx="12">
                  <c:v>1.8696280021088933</c:v>
                </c:pt>
                <c:pt idx="13">
                  <c:v>1.7391476834804767</c:v>
                </c:pt>
                <c:pt idx="14">
                  <c:v>2.7377877869322189</c:v>
                </c:pt>
                <c:pt idx="15">
                  <c:v>2.5933334038055551</c:v>
                </c:pt>
                <c:pt idx="16">
                  <c:v>2.3187003919307432</c:v>
                </c:pt>
                <c:pt idx="17">
                  <c:v>4.6796035180790172</c:v>
                </c:pt>
                <c:pt idx="18">
                  <c:v>4.0023247277621437</c:v>
                </c:pt>
                <c:pt idx="19">
                  <c:v>3.7272942850367561</c:v>
                </c:pt>
                <c:pt idx="20">
                  <c:v>3.4837151841868823</c:v>
                </c:pt>
                <c:pt idx="21">
                  <c:v>3.186550072871122</c:v>
                </c:pt>
                <c:pt idx="22">
                  <c:v>3.0377318718381114</c:v>
                </c:pt>
                <c:pt idx="23">
                  <c:v>2.6930469746003722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Sonaecom!$C$26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Sonaecom!$E$26:$Z$26</c:f>
              <c:numCache>
                <c:formatCode>#,##0</c:formatCode>
                <c:ptCount val="22"/>
                <c:pt idx="0">
                  <c:v>1409.99</c:v>
                </c:pt>
                <c:pt idx="1">
                  <c:v>555.66999999999996</c:v>
                </c:pt>
                <c:pt idx="2">
                  <c:v>284.17</c:v>
                </c:pt>
                <c:pt idx="3">
                  <c:v>536.21249999999998</c:v>
                </c:pt>
                <c:pt idx="4">
                  <c:v>859.75</c:v>
                </c:pt>
                <c:pt idx="5">
                  <c:v>828.07500000000005</c:v>
                </c:pt>
                <c:pt idx="6">
                  <c:v>1488.5805999999998</c:v>
                </c:pt>
                <c:pt idx="7">
                  <c:v>1208.625</c:v>
                </c:pt>
                <c:pt idx="8">
                  <c:v>364.35</c:v>
                </c:pt>
                <c:pt idx="9">
                  <c:v>699.38400000000001</c:v>
                </c:pt>
                <c:pt idx="10">
                  <c:v>483.3</c:v>
                </c:pt>
                <c:pt idx="11">
                  <c:v>433.99799999999999</c:v>
                </c:pt>
                <c:pt idx="12">
                  <c:v>532.27139999999997</c:v>
                </c:pt>
                <c:pt idx="13">
                  <c:v>927.1520999999999</c:v>
                </c:pt>
                <c:pt idx="14">
                  <c:v>456.60499999999996</c:v>
                </c:pt>
                <c:pt idx="15">
                  <c:v>632.94389999999987</c:v>
                </c:pt>
                <c:pt idx="16">
                  <c:v>780.01927000000001</c:v>
                </c:pt>
                <c:pt idx="17">
                  <c:v>770.54039999999998</c:v>
                </c:pt>
                <c:pt idx="18">
                  <c:v>755.32600000000014</c:v>
                </c:pt>
                <c:pt idx="19">
                  <c:v>607.01300000000003</c:v>
                </c:pt>
                <c:pt idx="20">
                  <c:v>428.12</c:v>
                </c:pt>
                <c:pt idx="21">
                  <c:v>515.27300000000002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Sonaecom!$C$5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Sonaecom!$E$5:$Z$5</c:f>
              <c:numCache>
                <c:formatCode>#,##0</c:formatCode>
                <c:ptCount val="22"/>
                <c:pt idx="0">
                  <c:v>181</c:v>
                </c:pt>
                <c:pt idx="1">
                  <c:v>181</c:v>
                </c:pt>
                <c:pt idx="2">
                  <c:v>181</c:v>
                </c:pt>
                <c:pt idx="3">
                  <c:v>226.25</c:v>
                </c:pt>
                <c:pt idx="4">
                  <c:v>226.25</c:v>
                </c:pt>
                <c:pt idx="5">
                  <c:v>226.25</c:v>
                </c:pt>
                <c:pt idx="6">
                  <c:v>296.52999999999997</c:v>
                </c:pt>
                <c:pt idx="7">
                  <c:v>366.25</c:v>
                </c:pt>
                <c:pt idx="8">
                  <c:v>364.35</c:v>
                </c:pt>
                <c:pt idx="9">
                  <c:v>362</c:v>
                </c:pt>
                <c:pt idx="10">
                  <c:v>358</c:v>
                </c:pt>
                <c:pt idx="11">
                  <c:v>357.2</c:v>
                </c:pt>
                <c:pt idx="12">
                  <c:v>359.4</c:v>
                </c:pt>
                <c:pt idx="13">
                  <c:v>360.9</c:v>
                </c:pt>
                <c:pt idx="14">
                  <c:v>314.89999999999998</c:v>
                </c:pt>
                <c:pt idx="15">
                  <c:v>305.77</c:v>
                </c:pt>
                <c:pt idx="16">
                  <c:v>305.77</c:v>
                </c:pt>
                <c:pt idx="17">
                  <c:v>305.77</c:v>
                </c:pt>
                <c:pt idx="18">
                  <c:v>305.8</c:v>
                </c:pt>
                <c:pt idx="19">
                  <c:v>305.8</c:v>
                </c:pt>
                <c:pt idx="20">
                  <c:v>305.8</c:v>
                </c:pt>
                <c:pt idx="21">
                  <c:v>305.8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Sonaecom!$C$6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Sonaecom!$E$6:$Z$6</c:f>
              <c:numCache>
                <c:formatCode>#,##0</c:formatCode>
                <c:ptCount val="22"/>
                <c:pt idx="0">
                  <c:v>109.551946</c:v>
                </c:pt>
                <c:pt idx="1">
                  <c:v>153.26738599999999</c:v>
                </c:pt>
                <c:pt idx="2">
                  <c:v>788.94639500000005</c:v>
                </c:pt>
                <c:pt idx="3">
                  <c:v>837.742344</c:v>
                </c:pt>
                <c:pt idx="4">
                  <c:v>108.049977</c:v>
                </c:pt>
                <c:pt idx="5">
                  <c:v>868.07581900000002</c:v>
                </c:pt>
                <c:pt idx="6">
                  <c:v>899.114867</c:v>
                </c:pt>
                <c:pt idx="7">
                  <c:v>79.052509999999998</c:v>
                </c:pt>
                <c:pt idx="8">
                  <c:v>364.35</c:v>
                </c:pt>
                <c:pt idx="9">
                  <c:v>956.43184499999995</c:v>
                </c:pt>
                <c:pt idx="10">
                  <c:v>928.94397200000003</c:v>
                </c:pt>
                <c:pt idx="11">
                  <c:v>872.44370000000004</c:v>
                </c:pt>
                <c:pt idx="12">
                  <c:v>106.657878</c:v>
                </c:pt>
                <c:pt idx="13">
                  <c:v>120.44987500000001</c:v>
                </c:pt>
                <c:pt idx="14">
                  <c:v>124.47826000000001</c:v>
                </c:pt>
                <c:pt idx="15">
                  <c:v>131.885198</c:v>
                </c:pt>
                <c:pt idx="16">
                  <c:v>132.04476600000001</c:v>
                </c:pt>
                <c:pt idx="17">
                  <c:v>142.22095100000001</c:v>
                </c:pt>
                <c:pt idx="18">
                  <c:v>111.1</c:v>
                </c:pt>
                <c:pt idx="19">
                  <c:v>134.80000000000001</c:v>
                </c:pt>
                <c:pt idx="20">
                  <c:v>132.30000000000001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Sonaecom!$C$27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Sonaecom!$E$27:$Z$27</c:f>
              <c:numCache>
                <c:formatCode>0.0</c:formatCode>
                <c:ptCount val="22"/>
                <c:pt idx="0">
                  <c:v>12.870515326126657</c:v>
                </c:pt>
                <c:pt idx="1">
                  <c:v>3.6254940760847845</c:v>
                </c:pt>
                <c:pt idx="2">
                  <c:v>0.36018923693795446</c:v>
                </c:pt>
                <c:pt idx="3">
                  <c:v>0.64006851729581427</c:v>
                </c:pt>
                <c:pt idx="4">
                  <c:v>7.9569660621029099</c:v>
                </c:pt>
                <c:pt idx="5">
                  <c:v>0.95392013217684157</c:v>
                </c:pt>
                <c:pt idx="6">
                  <c:v>1.6556067023636478</c:v>
                </c:pt>
                <c:pt idx="7">
                  <c:v>15.288888360407531</c:v>
                </c:pt>
                <c:pt idx="8">
                  <c:v>1</c:v>
                </c:pt>
                <c:pt idx="9">
                  <c:v>0.73124290419250948</c:v>
                </c:pt>
                <c:pt idx="10">
                  <c:v>0.52026819115846523</c:v>
                </c:pt>
                <c:pt idx="11">
                  <c:v>0.4974510103058799</c:v>
                </c:pt>
                <c:pt idx="12">
                  <c:v>4.9904555573475777</c:v>
                </c:pt>
                <c:pt idx="13">
                  <c:v>7.6974102297740021</c:v>
                </c:pt>
                <c:pt idx="14">
                  <c:v>3.6681505670146732</c:v>
                </c:pt>
                <c:pt idx="15">
                  <c:v>4.7992034708853364</c:v>
                </c:pt>
                <c:pt idx="16">
                  <c:v>5.9072335362387625</c:v>
                </c:pt>
                <c:pt idx="17">
                  <c:v>5.4179106143088571</c:v>
                </c:pt>
                <c:pt idx="18">
                  <c:v>6.7986138613861398</c:v>
                </c:pt>
                <c:pt idx="19">
                  <c:v>4.5030637982195847</c:v>
                </c:pt>
                <c:pt idx="20">
                  <c:v>3.2359788359788357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Sonaecom!$C$7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Sonaecom!$E$7:$Z$7</c:f>
              <c:numCache>
                <c:formatCode>#,##0</c:formatCode>
                <c:ptCount val="22"/>
                <c:pt idx="0">
                  <c:v>33.425125000000001</c:v>
                </c:pt>
                <c:pt idx="1">
                  <c:v>48.153125000000003</c:v>
                </c:pt>
                <c:pt idx="2">
                  <c:v>71.545436000000009</c:v>
                </c:pt>
                <c:pt idx="3">
                  <c:v>145.536565</c:v>
                </c:pt>
                <c:pt idx="4">
                  <c:v>200.613528</c:v>
                </c:pt>
                <c:pt idx="5">
                  <c:v>156.87588199999999</c:v>
                </c:pt>
                <c:pt idx="6">
                  <c:v>-683.73776599999997</c:v>
                </c:pt>
                <c:pt idx="7">
                  <c:v>-737.12084800000002</c:v>
                </c:pt>
                <c:pt idx="8">
                  <c:v>-826.3276229999999</c:v>
                </c:pt>
                <c:pt idx="9">
                  <c:v>-780.76306199999999</c:v>
                </c:pt>
                <c:pt idx="10">
                  <c:v>-734.93243200000006</c:v>
                </c:pt>
                <c:pt idx="11">
                  <c:v>-659.45795999999996</c:v>
                </c:pt>
                <c:pt idx="12">
                  <c:v>4.8881999999999977</c:v>
                </c:pt>
                <c:pt idx="13">
                  <c:v>9.3163089999999897</c:v>
                </c:pt>
                <c:pt idx="14">
                  <c:v>-116.995634</c:v>
                </c:pt>
                <c:pt idx="15">
                  <c:v>1.1000000000000001</c:v>
                </c:pt>
                <c:pt idx="16">
                  <c:v>-4.2</c:v>
                </c:pt>
                <c:pt idx="17">
                  <c:v>0.3</c:v>
                </c:pt>
                <c:pt idx="18">
                  <c:v>-4.5999999999999996</c:v>
                </c:pt>
                <c:pt idx="19">
                  <c:v>-9.9</c:v>
                </c:pt>
                <c:pt idx="20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Sonaecom!$C$28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Sonaecom!$E$28:$Z$28</c:f>
              <c:numCache>
                <c:formatCode>0.0</c:formatCode>
                <c:ptCount val="22"/>
                <c:pt idx="0">
                  <c:v>42.183537084752864</c:v>
                </c:pt>
                <c:pt idx="1">
                  <c:v>11.53964566162632</c:v>
                </c:pt>
                <c:pt idx="2">
                  <c:v>3.971881588645291</c:v>
                </c:pt>
                <c:pt idx="3">
                  <c:v>3.6843833712854224</c:v>
                </c:pt>
                <c:pt idx="4">
                  <c:v>4.2856033118564163</c:v>
                </c:pt>
                <c:pt idx="5">
                  <c:v>5.2785360594817252</c:v>
                </c:pt>
                <c:pt idx="6">
                  <c:v>-2.177122098591231</c:v>
                </c:pt>
                <c:pt idx="7">
                  <c:v>-1.6396565139614665</c:v>
                </c:pt>
                <c:pt idx="8">
                  <c:v>-0.44092680658213945</c:v>
                </c:pt>
                <c:pt idx="9">
                  <c:v>-0.8957698359966727</c:v>
                </c:pt>
                <c:pt idx="10">
                  <c:v>-0.65761147413889054</c:v>
                </c:pt>
                <c:pt idx="11">
                  <c:v>-0.65811321770989017</c:v>
                </c:pt>
                <c:pt idx="12">
                  <c:v>108.88903891002828</c:v>
                </c:pt>
                <c:pt idx="13">
                  <c:v>99.519251669303898</c:v>
                </c:pt>
                <c:pt idx="14">
                  <c:v>-3.9027524736521362</c:v>
                </c:pt>
                <c:pt idx="15">
                  <c:v>575.40354545454534</c:v>
                </c:pt>
                <c:pt idx="16">
                  <c:v>-185.71887380952381</c:v>
                </c:pt>
                <c:pt idx="17">
                  <c:v>2568.4679999999998</c:v>
                </c:pt>
                <c:pt idx="18">
                  <c:v>-164.20130434782612</c:v>
                </c:pt>
                <c:pt idx="19">
                  <c:v>-61.314444444444447</c:v>
                </c:pt>
                <c:pt idx="20">
                  <c:v>-109.77435897435898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Sonaecom!$C$32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Sonaecom!$E$32:$Z$32</c:f>
              <c:numCache>
                <c:formatCode>0.0%</c:formatCode>
                <c:ptCount val="22"/>
                <c:pt idx="0">
                  <c:v>0.30510754231604431</c:v>
                </c:pt>
                <c:pt idx="1">
                  <c:v>0.31417724446608625</c:v>
                </c:pt>
                <c:pt idx="2">
                  <c:v>9.0684787272524395E-2</c:v>
                </c:pt>
                <c:pt idx="3">
                  <c:v>0.17372473295918298</c:v>
                </c:pt>
                <c:pt idx="4">
                  <c:v>1.8566734910087024</c:v>
                </c:pt>
                <c:pt idx="5">
                  <c:v>0.18071679750360606</c:v>
                </c:pt>
                <c:pt idx="6">
                  <c:v>-0.76045652351558768</c:v>
                </c:pt>
                <c:pt idx="7">
                  <c:v>-9.3244458398601129</c:v>
                </c:pt>
                <c:pt idx="8">
                  <c:v>-2.2679501111568543</c:v>
                </c:pt>
                <c:pt idx="9">
                  <c:v>-0.8163290108768807</c:v>
                </c:pt>
                <c:pt idx="10">
                  <c:v>-0.79114828682046723</c:v>
                </c:pt>
                <c:pt idx="11">
                  <c:v>-0.75587451660204541</c:v>
                </c:pt>
                <c:pt idx="12">
                  <c:v>4.5830651159213927E-2</c:v>
                </c:pt>
                <c:pt idx="13">
                  <c:v>7.7345941620943895E-2</c:v>
                </c:pt>
                <c:pt idx="14">
                  <c:v>-0.9398880896953411</c:v>
                </c:pt>
                <c:pt idx="15">
                  <c:v>8.3405872431567343E-3</c:v>
                </c:pt>
                <c:pt idx="16">
                  <c:v>-3.1807394773981423E-2</c:v>
                </c:pt>
                <c:pt idx="17">
                  <c:v>2.109393854355537E-3</c:v>
                </c:pt>
                <c:pt idx="18">
                  <c:v>-4.1404140414041404E-2</c:v>
                </c:pt>
                <c:pt idx="19">
                  <c:v>-7.3442136498516317E-2</c:v>
                </c:pt>
                <c:pt idx="20">
                  <c:v>-2.9478458049886618E-2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Sonaecom!$C$33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6-4CF1-A9EF-E7D34F4A8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Sonaecom!$E$33:$Z$33</c:f>
              <c:numCache>
                <c:formatCode>0.0%</c:formatCode>
                <c:ptCount val="22"/>
                <c:pt idx="0">
                  <c:v>0.11696460417051835</c:v>
                </c:pt>
                <c:pt idx="1">
                  <c:v>0.13842036817930725</c:v>
                </c:pt>
                <c:pt idx="2">
                  <c:v>-7.3221884739076593E-2</c:v>
                </c:pt>
                <c:pt idx="3">
                  <c:v>1.9270355755110307E-2</c:v>
                </c:pt>
                <c:pt idx="4">
                  <c:v>0.69797140262232549</c:v>
                </c:pt>
                <c:pt idx="5">
                  <c:v>3.3007553456571977E-2</c:v>
                </c:pt>
                <c:pt idx="6">
                  <c:v>-0.91135037699248722</c:v>
                </c:pt>
                <c:pt idx="7">
                  <c:v>-11.0952032769105</c:v>
                </c:pt>
                <c:pt idx="8">
                  <c:v>-2.7004344449018798</c:v>
                </c:pt>
                <c:pt idx="9">
                  <c:v>-0.97501702486704633</c:v>
                </c:pt>
                <c:pt idx="10">
                  <c:v>-0.93059981878002862</c:v>
                </c:pt>
                <c:pt idx="11">
                  <c:v>-0.9054492880170949</c:v>
                </c:pt>
                <c:pt idx="12">
                  <c:v>-1.177666097951058</c:v>
                </c:pt>
                <c:pt idx="13">
                  <c:v>-1.0060554898873908</c:v>
                </c:pt>
                <c:pt idx="14">
                  <c:v>-0.99726667933822333</c:v>
                </c:pt>
                <c:pt idx="15">
                  <c:v>-5.4592934682480443E-2</c:v>
                </c:pt>
                <c:pt idx="16">
                  <c:v>-0.11132588170893497</c:v>
                </c:pt>
                <c:pt idx="17">
                  <c:v>-6.3984946915451285E-2</c:v>
                </c:pt>
                <c:pt idx="18">
                  <c:v>-9.5409540954095415E-2</c:v>
                </c:pt>
                <c:pt idx="19">
                  <c:v>-0.14910979228486645</c:v>
                </c:pt>
                <c:pt idx="20">
                  <c:v>-9.6749811035525324E-2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Sonaecom!$C$35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6-4CF1-A9EF-E7D34F4A83AE}"/>
                </c:ext>
              </c:extLst>
            </c:dLbl>
            <c:dLbl>
              <c:idx val="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B6-4CF1-A9EF-E7D34F4A8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Sonaecom!$E$35:$Z$35</c:f>
              <c:numCache>
                <c:formatCode>0.0%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-8.2520936039006801E-2</c:v>
                </c:pt>
                <c:pt idx="3">
                  <c:v>-2.341284780514807E-2</c:v>
                </c:pt>
                <c:pt idx="4">
                  <c:v>0.35939109917626361</c:v>
                </c:pt>
                <c:pt idx="5">
                  <c:v>1.3309912276222498E-2</c:v>
                </c:pt>
                <c:pt idx="6">
                  <c:v>-5.4150200143448417E-3</c:v>
                </c:pt>
                <c:pt idx="7">
                  <c:v>0.47013216911139194</c:v>
                </c:pt>
                <c:pt idx="8">
                  <c:v>1.4340285439824345E-2</c:v>
                </c:pt>
                <c:pt idx="9">
                  <c:v>6.353948827373058E-3</c:v>
                </c:pt>
                <c:pt idx="10">
                  <c:v>4.4510980474934389E-2</c:v>
                </c:pt>
                <c:pt idx="11">
                  <c:v>7.1704787369087544E-2</c:v>
                </c:pt>
                <c:pt idx="12">
                  <c:v>0.70723373101422482</c:v>
                </c:pt>
                <c:pt idx="13">
                  <c:v>0.86149069893181707</c:v>
                </c:pt>
                <c:pt idx="14">
                  <c:v>0.21768924951232446</c:v>
                </c:pt>
                <c:pt idx="15">
                  <c:v>0.26234938055747548</c:v>
                </c:pt>
                <c:pt idx="16">
                  <c:v>0.36427040205440631</c:v>
                </c:pt>
                <c:pt idx="17">
                  <c:v>0.16031393293102081</c:v>
                </c:pt>
                <c:pt idx="18">
                  <c:v>0.61566156615661571</c:v>
                </c:pt>
                <c:pt idx="19">
                  <c:v>0.3827893175074184</c:v>
                </c:pt>
                <c:pt idx="20">
                  <c:v>0.45427059712773998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Sonaecom!$C$12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Sonaecom!$E$12:$Z$12</c:f>
              <c:numCache>
                <c:formatCode>#,##0</c:formatCode>
                <c:ptCount val="22"/>
                <c:pt idx="0">
                  <c:v>109.551946</c:v>
                </c:pt>
                <c:pt idx="1">
                  <c:v>153.26738599999999</c:v>
                </c:pt>
                <c:pt idx="2">
                  <c:v>-65.104595000000003</c:v>
                </c:pt>
                <c:pt idx="3">
                  <c:v>-19.613934</c:v>
                </c:pt>
                <c:pt idx="4">
                  <c:v>38.8322</c:v>
                </c:pt>
                <c:pt idx="5">
                  <c:v>11.554012999999999</c:v>
                </c:pt>
                <c:pt idx="6">
                  <c:v>-4.8687250000000004</c:v>
                </c:pt>
                <c:pt idx="7">
                  <c:v>37.165128000000003</c:v>
                </c:pt>
                <c:pt idx="8">
                  <c:v>5.2248830000000002</c:v>
                </c:pt>
                <c:pt idx="9">
                  <c:v>6.0771189999999997</c:v>
                </c:pt>
                <c:pt idx="10">
                  <c:v>41.348207000000002</c:v>
                </c:pt>
                <c:pt idx="11">
                  <c:v>62.558390000000003</c:v>
                </c:pt>
                <c:pt idx="12">
                  <c:v>75.432049000000006</c:v>
                </c:pt>
                <c:pt idx="13">
                  <c:v>103.766447</c:v>
                </c:pt>
                <c:pt idx="14">
                  <c:v>27.097579</c:v>
                </c:pt>
                <c:pt idx="15">
                  <c:v>34.6</c:v>
                </c:pt>
                <c:pt idx="16">
                  <c:v>48.1</c:v>
                </c:pt>
                <c:pt idx="17">
                  <c:v>22.8</c:v>
                </c:pt>
                <c:pt idx="18">
                  <c:v>68.400000000000006</c:v>
                </c:pt>
                <c:pt idx="19">
                  <c:v>51.6</c:v>
                </c:pt>
                <c:pt idx="20">
                  <c:v>60.1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Sonaecom!$C$36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Sonaecom!$E$36:$Z$36</c:f>
              <c:numCache>
                <c:formatCode>0.0</c:formatCode>
                <c:ptCount val="22"/>
                <c:pt idx="0">
                  <c:v>12.870515326126657</c:v>
                </c:pt>
                <c:pt idx="1">
                  <c:v>3.6254940760847845</c:v>
                </c:pt>
                <c:pt idx="2">
                  <c:v>0</c:v>
                </c:pt>
                <c:pt idx="3">
                  <c:v>0</c:v>
                </c:pt>
                <c:pt idx="4">
                  <c:v>22.140131128290438</c:v>
                </c:pt>
                <c:pt idx="5">
                  <c:v>71.669903781482688</c:v>
                </c:pt>
                <c:pt idx="6">
                  <c:v>0</c:v>
                </c:pt>
                <c:pt idx="7">
                  <c:v>32.520404611548756</c:v>
                </c:pt>
                <c:pt idx="8">
                  <c:v>69.733618915485764</c:v>
                </c:pt>
                <c:pt idx="9">
                  <c:v>115.08479593702214</c:v>
                </c:pt>
                <c:pt idx="10">
                  <c:v>11.688535853561921</c:v>
                </c:pt>
                <c:pt idx="11">
                  <c:v>6.9374867224044605</c:v>
                </c:pt>
                <c:pt idx="12">
                  <c:v>7.0563030841174674</c:v>
                </c:pt>
                <c:pt idx="13">
                  <c:v>8.9349893612527751</c:v>
                </c:pt>
                <c:pt idx="14">
                  <c:v>16.850398332633333</c:v>
                </c:pt>
                <c:pt idx="15">
                  <c:v>18.293176300578029</c:v>
                </c:pt>
                <c:pt idx="16">
                  <c:v>16.216616839916838</c:v>
                </c:pt>
                <c:pt idx="17">
                  <c:v>33.795631578947365</c:v>
                </c:pt>
                <c:pt idx="18">
                  <c:v>11.042777777777779</c:v>
                </c:pt>
                <c:pt idx="19">
                  <c:v>11.763817829457365</c:v>
                </c:pt>
                <c:pt idx="20">
                  <c:v>7.1234608985024961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Sonaecom!$C$38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AB-405F-B77A-58B975EA5F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Sonaecom!$E$38:$Z$38</c:f>
              <c:numCache>
                <c:formatCode>0%</c:formatCode>
                <c:ptCount val="22"/>
                <c:pt idx="0">
                  <c:v>0.39040393067416762</c:v>
                </c:pt>
                <c:pt idx="1">
                  <c:v>0.49839268202181031</c:v>
                </c:pt>
                <c:pt idx="2">
                  <c:v>-0.22473574018022907</c:v>
                </c:pt>
                <c:pt idx="3">
                  <c:v>6.7655986067712198E-2</c:v>
                </c:pt>
                <c:pt idx="4">
                  <c:v>0.1711760451517047</c:v>
                </c:pt>
                <c:pt idx="5">
                  <c:v>4.1711188910437187E-2</c:v>
                </c:pt>
                <c:pt idx="6">
                  <c:v>-0.90096263198847404</c:v>
                </c:pt>
                <c:pt idx="7">
                  <c:v>-0.93765616210011349</c:v>
                </c:pt>
                <c:pt idx="8">
                  <c:v>-1.0591517970461555</c:v>
                </c:pt>
                <c:pt idx="9">
                  <c:v>-0.99668328197835732</c:v>
                </c:pt>
                <c:pt idx="10">
                  <c:v>-0.88641202203991598</c:v>
                </c:pt>
                <c:pt idx="11">
                  <c:v>-0.77340506316461854</c:v>
                </c:pt>
                <c:pt idx="12">
                  <c:v>-0.11595493059640825</c:v>
                </c:pt>
                <c:pt idx="13">
                  <c:v>-0.10660060865009752</c:v>
                </c:pt>
                <c:pt idx="14">
                  <c:v>-0.12188719262012673</c:v>
                </c:pt>
                <c:pt idx="15">
                  <c:v>-7.0113935144609984E-3</c:v>
                </c:pt>
                <c:pt idx="16">
                  <c:v>-1.422860387775297E-2</c:v>
                </c:pt>
                <c:pt idx="17">
                  <c:v>-8.8323789187615253E-3</c:v>
                </c:pt>
                <c:pt idx="18">
                  <c:v>-9.9689645443430831E-3</c:v>
                </c:pt>
                <c:pt idx="19">
                  <c:v>-1.873077998322617E-2</c:v>
                </c:pt>
                <c:pt idx="20">
                  <c:v>-1.1621572544034864E-2</c:v>
                </c:pt>
                <c:pt idx="2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Sonaecom!$C$39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AB-405F-B77A-58B975EA5FDB}"/>
                </c:ext>
              </c:extLst>
            </c:dLbl>
            <c:dLbl>
              <c:idx val="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B-405F-B77A-58B975EA5F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Sonaecom!$E$39:$Z$39</c:f>
              <c:numCache>
                <c:formatCode>0%</c:formatCode>
                <c:ptCount val="22"/>
                <c:pt idx="0">
                  <c:v>3.3377955103837418</c:v>
                </c:pt>
                <c:pt idx="1">
                  <c:v>3.6005733012948022</c:v>
                </c:pt>
                <c:pt idx="2">
                  <c:v>-0.25327678612995796</c:v>
                </c:pt>
                <c:pt idx="3">
                  <c:v>-8.219979563638817E-2</c:v>
                </c:pt>
                <c:pt idx="4">
                  <c:v>8.8139924914667434E-2</c:v>
                </c:pt>
                <c:pt idx="5">
                  <c:v>1.6819552108437955E-2</c:v>
                </c:pt>
                <c:pt idx="6">
                  <c:v>-5.3532985858792386E-3</c:v>
                </c:pt>
                <c:pt idx="7">
                  <c:v>3.9730892203314182E-2</c:v>
                </c:pt>
                <c:pt idx="8">
                  <c:v>5.6244798396861834E-3</c:v>
                </c:pt>
                <c:pt idx="9">
                  <c:v>6.4951425557438517E-3</c:v>
                </c:pt>
                <c:pt idx="10">
                  <c:v>4.2397459584173895E-2</c:v>
                </c:pt>
                <c:pt idx="11">
                  <c:v>6.1247875875901803E-2</c:v>
                </c:pt>
                <c:pt idx="12">
                  <c:v>6.963539014825354E-2</c:v>
                </c:pt>
                <c:pt idx="13">
                  <c:v>9.1282671558016018E-2</c:v>
                </c:pt>
                <c:pt idx="14">
                  <c:v>2.6606254912925519E-2</c:v>
                </c:pt>
                <c:pt idx="15">
                  <c:v>3.3693641055604247E-2</c:v>
                </c:pt>
                <c:pt idx="16">
                  <c:v>4.6557540579586255E-2</c:v>
                </c:pt>
                <c:pt idx="17">
                  <c:v>2.2129476851402506E-2</c:v>
                </c:pt>
                <c:pt idx="18">
                  <c:v>6.4328035361610095E-2</c:v>
                </c:pt>
                <c:pt idx="19">
                  <c:v>4.8084987419625393E-2</c:v>
                </c:pt>
                <c:pt idx="20">
                  <c:v>5.4566914835663699E-2</c:v>
                </c:pt>
                <c:pt idx="2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Sonaecom!$C$37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Sonaecom!$E$3:$Z$3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Sonaecom!$E$37:$Z$37</c:f>
              <c:numCache>
                <c:formatCode>0.0</c:formatCode>
                <c:ptCount val="22"/>
                <c:pt idx="0">
                  <c:v>42.959148271870696</c:v>
                </c:pt>
                <c:pt idx="1">
                  <c:v>13.05385717435334</c:v>
                </c:pt>
                <c:pt idx="2">
                  <c:v>1.1055082105118719</c:v>
                </c:pt>
                <c:pt idx="3">
                  <c:v>2.2472063950901839</c:v>
                </c:pt>
                <c:pt idx="4">
                  <c:v>1.9514294952484106</c:v>
                </c:pt>
                <c:pt idx="5">
                  <c:v>1.2054556812593824</c:v>
                </c:pt>
                <c:pt idx="6">
                  <c:v>1.6367357821497963</c:v>
                </c:pt>
                <c:pt idx="7">
                  <c:v>1.2920646900296051</c:v>
                </c:pt>
                <c:pt idx="8">
                  <c:v>0.39221533373850881</c:v>
                </c:pt>
                <c:pt idx="9">
                  <c:v>0.74749215560964954</c:v>
                </c:pt>
                <c:pt idx="10">
                  <c:v>0.49556422644955905</c:v>
                </c:pt>
                <c:pt idx="11">
                  <c:v>0.42490632566454523</c:v>
                </c:pt>
                <c:pt idx="12">
                  <c:v>0.49136841826684458</c:v>
                </c:pt>
                <c:pt idx="13">
                  <c:v>0.8156096992376044</c:v>
                </c:pt>
                <c:pt idx="14">
                  <c:v>0.44832599342237756</c:v>
                </c:pt>
                <c:pt idx="15">
                  <c:v>0.61636371603856244</c:v>
                </c:pt>
                <c:pt idx="16">
                  <c:v>0.75500579658803002</c:v>
                </c:pt>
                <c:pt idx="17">
                  <c:v>0.7478796467048433</c:v>
                </c:pt>
                <c:pt idx="18">
                  <c:v>0.71036019937929107</c:v>
                </c:pt>
                <c:pt idx="19">
                  <c:v>0.56566303233622228</c:v>
                </c:pt>
                <c:pt idx="20">
                  <c:v>0.3887052841837661</c:v>
                </c:pt>
                <c:pt idx="21">
                  <c:v>0.45143946031189763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Sonaecom!$C$41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Sonaecom!$E$41:$Z$41</c:f>
              <c:numCache>
                <c:formatCode>0.0</c:formatCode>
                <c:ptCount val="22"/>
                <c:pt idx="0">
                  <c:v>3.4918549844887652</c:v>
                </c:pt>
                <c:pt idx="1">
                  <c:v>1.5394079777392391</c:v>
                </c:pt>
                <c:pt idx="2">
                  <c:v>0.77515429691755822</c:v>
                </c:pt>
                <c:pt idx="3">
                  <c:v>1.1472266448048318</c:v>
                </c:pt>
                <c:pt idx="4">
                  <c:v>0.96515744593109898</c:v>
                </c:pt>
                <c:pt idx="5">
                  <c:v>1.5537588979340289</c:v>
                </c:pt>
                <c:pt idx="6">
                  <c:v>1.1602014447959035</c:v>
                </c:pt>
                <c:pt idx="7">
                  <c:v>1.010283612211853</c:v>
                </c:pt>
                <c:pt idx="8">
                  <c:v>0.97836880996311948</c:v>
                </c:pt>
                <c:pt idx="9">
                  <c:v>0.76653140495620176</c:v>
                </c:pt>
                <c:pt idx="10">
                  <c:v>0.74188257595396634</c:v>
                </c:pt>
                <c:pt idx="11">
                  <c:v>0.78318681322832673</c:v>
                </c:pt>
                <c:pt idx="12">
                  <c:v>0.60755729138207559</c:v>
                </c:pt>
                <c:pt idx="13">
                  <c:v>7.539032650600257</c:v>
                </c:pt>
                <c:pt idx="14">
                  <c:v>5.1549806121447084</c:v>
                </c:pt>
                <c:pt idx="15">
                  <c:v>5.9783036658538782</c:v>
                </c:pt>
                <c:pt idx="16">
                  <c:v>5.6523298556604891</c:v>
                </c:pt>
                <c:pt idx="17">
                  <c:v>4.8109259042449386</c:v>
                </c:pt>
                <c:pt idx="18">
                  <c:v>3.6536643026004731</c:v>
                </c:pt>
                <c:pt idx="19">
                  <c:v>5.1972789115646263</c:v>
                </c:pt>
                <c:pt idx="20">
                  <c:v>4.5716612377850163</c:v>
                </c:pt>
                <c:pt idx="21">
                  <c:v>5.1941176470588228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Sonaecom!$C$45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Sonaecom!$E$45:$Z$45</c:f>
              <c:numCache>
                <c:formatCode>0.0</c:formatCode>
                <c:ptCount val="22"/>
                <c:pt idx="0">
                  <c:v>4.4603758001540879</c:v>
                </c:pt>
                <c:pt idx="1">
                  <c:v>4.1924269210579581</c:v>
                </c:pt>
                <c:pt idx="2">
                  <c:v>4.7561442547035524</c:v>
                </c:pt>
                <c:pt idx="3">
                  <c:v>5.0655056080385314</c:v>
                </c:pt>
                <c:pt idx="4">
                  <c:v>2.4027645478915662</c:v>
                </c:pt>
                <c:pt idx="5">
                  <c:v>2.1134119461291987</c:v>
                </c:pt>
                <c:pt idx="6">
                  <c:v>1.8913957118951585</c:v>
                </c:pt>
                <c:pt idx="7">
                  <c:v>1.8800206469505407</c:v>
                </c:pt>
                <c:pt idx="8">
                  <c:v>2.1243694014934595</c:v>
                </c:pt>
                <c:pt idx="9">
                  <c:v>2.0521839460859304</c:v>
                </c:pt>
                <c:pt idx="10">
                  <c:v>1.9091166564689948</c:v>
                </c:pt>
                <c:pt idx="11">
                  <c:v>1.9774763246268781</c:v>
                </c:pt>
                <c:pt idx="12">
                  <c:v>1.752951198620299</c:v>
                </c:pt>
                <c:pt idx="13">
                  <c:v>1.0794280720401297</c:v>
                </c:pt>
                <c:pt idx="14">
                  <c:v>1.0706552054955785</c:v>
                </c:pt>
                <c:pt idx="15">
                  <c:v>6.3978965819456612E-2</c:v>
                </c:pt>
                <c:pt idx="16">
                  <c:v>6.8916775244626638E-2</c:v>
                </c:pt>
                <c:pt idx="17">
                  <c:v>7.3182568184024077E-2</c:v>
                </c:pt>
                <c:pt idx="18">
                  <c:v>0.13458102134863162</c:v>
                </c:pt>
                <c:pt idx="19">
                  <c:v>0.12105116019010345</c:v>
                </c:pt>
                <c:pt idx="20">
                  <c:v>0.13264935536589792</c:v>
                </c:pt>
                <c:pt idx="21">
                  <c:v>9.4357806202908706E-2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'Sonae SGPS'!$C$26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16"/>
              <c:layout>
                <c:manualLayout>
                  <c:x val="-1.3615827114261381E-16"/>
                  <c:y val="-4.2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5-47D8-85F5-2D92C4B016A7}"/>
                </c:ext>
              </c:extLst>
            </c:dLbl>
            <c:dLbl>
              <c:idx val="22"/>
              <c:layout>
                <c:manualLayout>
                  <c:x val="1.6710526315789474E-2"/>
                  <c:y val="-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5-47D8-85F5-2D92C4B01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'Sonae SGPS'!$I$26:$AF$26</c:f>
              <c:numCache>
                <c:formatCode>#,##0</c:formatCode>
                <c:ptCount val="24"/>
                <c:pt idx="0">
                  <c:v>1535.44</c:v>
                </c:pt>
                <c:pt idx="1">
                  <c:v>3606.7960000000003</c:v>
                </c:pt>
                <c:pt idx="2">
                  <c:v>1984.779</c:v>
                </c:pt>
                <c:pt idx="3">
                  <c:v>1331.0640000000001</c:v>
                </c:pt>
                <c:pt idx="4">
                  <c:v>652.87800000000004</c:v>
                </c:pt>
                <c:pt idx="5">
                  <c:v>1077.6419999999998</c:v>
                </c:pt>
                <c:pt idx="6">
                  <c:v>1746.2520000000002</c:v>
                </c:pt>
                <c:pt idx="7">
                  <c:v>1925.712</c:v>
                </c:pt>
                <c:pt idx="8">
                  <c:v>2456.52</c:v>
                </c:pt>
                <c:pt idx="9">
                  <c:v>3231.777</c:v>
                </c:pt>
                <c:pt idx="10">
                  <c:v>874</c:v>
                </c:pt>
                <c:pt idx="11">
                  <c:v>1740</c:v>
                </c:pt>
                <c:pt idx="12">
                  <c:v>1464.06</c:v>
                </c:pt>
                <c:pt idx="13">
                  <c:v>863.37900000000002</c:v>
                </c:pt>
                <c:pt idx="14">
                  <c:v>1286.7510000000002</c:v>
                </c:pt>
                <c:pt idx="15">
                  <c:v>1968.973</c:v>
                </c:pt>
                <c:pt idx="16">
                  <c:v>2008.0640000000001</c:v>
                </c:pt>
                <c:pt idx="17">
                  <c:v>1967.096</c:v>
                </c:pt>
                <c:pt idx="18">
                  <c:v>1767.2280000000001</c:v>
                </c:pt>
                <c:pt idx="19">
                  <c:v>2285.7799999999997</c:v>
                </c:pt>
                <c:pt idx="20">
                  <c:v>1647.5400000000002</c:v>
                </c:pt>
                <c:pt idx="21">
                  <c:v>1851.8500000000001</c:v>
                </c:pt>
                <c:pt idx="22">
                  <c:v>1352.106</c:v>
                </c:pt>
                <c:pt idx="23">
                  <c:v>2005.9999999999998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'Sonae SGPS'!$C$5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SGPS'!$I$5:$AF$5</c:f>
              <c:numCache>
                <c:formatCode>#,##0</c:formatCode>
                <c:ptCount val="24"/>
                <c:pt idx="0">
                  <c:v>1360</c:v>
                </c:pt>
                <c:pt idx="1">
                  <c:v>2524</c:v>
                </c:pt>
                <c:pt idx="2">
                  <c:v>2657</c:v>
                </c:pt>
                <c:pt idx="3">
                  <c:v>2641</c:v>
                </c:pt>
                <c:pt idx="4">
                  <c:v>2622</c:v>
                </c:pt>
                <c:pt idx="5">
                  <c:v>2622</c:v>
                </c:pt>
                <c:pt idx="6">
                  <c:v>2622</c:v>
                </c:pt>
                <c:pt idx="7">
                  <c:v>1866</c:v>
                </c:pt>
                <c:pt idx="8">
                  <c:v>1861</c:v>
                </c:pt>
                <c:pt idx="9">
                  <c:v>1867</c:v>
                </c:pt>
                <c:pt idx="10">
                  <c:v>2000</c:v>
                </c:pt>
                <c:pt idx="11">
                  <c:v>2000</c:v>
                </c:pt>
                <c:pt idx="12">
                  <c:v>1877</c:v>
                </c:pt>
                <c:pt idx="13">
                  <c:v>1881</c:v>
                </c:pt>
                <c:pt idx="14">
                  <c:v>1873</c:v>
                </c:pt>
                <c:pt idx="15">
                  <c:v>1877</c:v>
                </c:pt>
                <c:pt idx="16">
                  <c:v>1961</c:v>
                </c:pt>
                <c:pt idx="17">
                  <c:v>1877</c:v>
                </c:pt>
                <c:pt idx="18">
                  <c:v>2022</c:v>
                </c:pt>
                <c:pt idx="19">
                  <c:v>2030</c:v>
                </c:pt>
                <c:pt idx="20">
                  <c:v>2034</c:v>
                </c:pt>
                <c:pt idx="21">
                  <c:v>2035</c:v>
                </c:pt>
                <c:pt idx="22">
                  <c:v>2044</c:v>
                </c:pt>
                <c:pt idx="23">
                  <c:v>2000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Cofina!$C$26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Cofina!$D$26:$AA$26</c:f>
              <c:numCache>
                <c:formatCode>#,##0</c:formatCode>
                <c:ptCount val="24"/>
                <c:pt idx="0">
                  <c:v>53.271626400000009</c:v>
                </c:pt>
                <c:pt idx="1">
                  <c:v>83.743196220000002</c:v>
                </c:pt>
                <c:pt idx="2">
                  <c:v>139.11498532000002</c:v>
                </c:pt>
                <c:pt idx="3">
                  <c:v>109.00000000000001</c:v>
                </c:pt>
                <c:pt idx="4">
                  <c:v>116.5</c:v>
                </c:pt>
                <c:pt idx="5">
                  <c:v>126.47500000000001</c:v>
                </c:pt>
                <c:pt idx="6">
                  <c:v>182</c:v>
                </c:pt>
                <c:pt idx="7">
                  <c:v>154.87441236000001</c:v>
                </c:pt>
                <c:pt idx="8">
                  <c:v>186.66982152000003</c:v>
                </c:pt>
                <c:pt idx="9">
                  <c:v>156.92572908</c:v>
                </c:pt>
                <c:pt idx="10">
                  <c:v>46.154626200000003</c:v>
                </c:pt>
                <c:pt idx="11">
                  <c:v>108.71978616000001</c:v>
                </c:pt>
                <c:pt idx="12">
                  <c:v>70.770426839999999</c:v>
                </c:pt>
                <c:pt idx="13">
                  <c:v>77.950035360000001</c:v>
                </c:pt>
                <c:pt idx="14">
                  <c:v>60.51384324</c:v>
                </c:pt>
                <c:pt idx="15">
                  <c:v>51.282918000000002</c:v>
                </c:pt>
                <c:pt idx="16">
                  <c:v>48.411074591999999</c:v>
                </c:pt>
                <c:pt idx="17">
                  <c:v>45.641797020000006</c:v>
                </c:pt>
                <c:pt idx="18">
                  <c:v>26.667117360000002</c:v>
                </c:pt>
                <c:pt idx="19">
                  <c:v>46.052060364000006</c:v>
                </c:pt>
                <c:pt idx="20">
                  <c:v>56.821473144000009</c:v>
                </c:pt>
                <c:pt idx="21">
                  <c:v>42.0465465455</c:v>
                </c:pt>
                <c:pt idx="22">
                  <c:v>24.61580064</c:v>
                </c:pt>
                <c:pt idx="23">
                  <c:v>24.000405624000003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A-4DF9-BEDD-0EFE45C92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1679984"/>
        <c:axId val="741683592"/>
      </c:barChart>
      <c:lineChart>
        <c:grouping val="stacked"/>
        <c:varyColors val="0"/>
        <c:ser>
          <c:idx val="1"/>
          <c:order val="1"/>
          <c:tx>
            <c:strRef>
              <c:f>Cofina!$C$5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74-4506-ACEF-2738778E309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74-4506-ACEF-2738778E3091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3-4AD8-8650-DE43433B9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Cofina!$D$3:$X$3</c:f>
              <c:numCache>
                <c:formatCode>General</c:formatCode>
                <c:ptCount val="21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numCache>
            </c:numRef>
          </c:cat>
          <c:val>
            <c:numRef>
              <c:f>Cofina!$D$5:$AA$5</c:f>
              <c:numCache>
                <c:formatCode>#,##0</c:formatCode>
                <c:ptCount val="24"/>
                <c:pt idx="0">
                  <c:v>99.759600000000006</c:v>
                </c:pt>
                <c:pt idx="1">
                  <c:v>99.759600000000006</c:v>
                </c:pt>
                <c:pt idx="2">
                  <c:v>99.75976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102.565836</c:v>
                </c:pt>
                <c:pt idx="8">
                  <c:v>102.565836</c:v>
                </c:pt>
                <c:pt idx="9">
                  <c:v>102.565836</c:v>
                </c:pt>
                <c:pt idx="10">
                  <c:v>102.565836</c:v>
                </c:pt>
                <c:pt idx="11">
                  <c:v>102.565836</c:v>
                </c:pt>
                <c:pt idx="12">
                  <c:v>102.565836</c:v>
                </c:pt>
                <c:pt idx="13">
                  <c:v>102.565836</c:v>
                </c:pt>
                <c:pt idx="14">
                  <c:v>102.565836</c:v>
                </c:pt>
                <c:pt idx="15">
                  <c:v>102.565836</c:v>
                </c:pt>
                <c:pt idx="16">
                  <c:v>102.565836</c:v>
                </c:pt>
                <c:pt idx="17">
                  <c:v>102.565836</c:v>
                </c:pt>
                <c:pt idx="18">
                  <c:v>102.565836</c:v>
                </c:pt>
                <c:pt idx="19">
                  <c:v>102.565836</c:v>
                </c:pt>
                <c:pt idx="20">
                  <c:v>102.565836</c:v>
                </c:pt>
                <c:pt idx="21">
                  <c:v>102.55255255</c:v>
                </c:pt>
                <c:pt idx="22">
                  <c:v>102.565836</c:v>
                </c:pt>
                <c:pt idx="23">
                  <c:v>102.565836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A-4DF9-BEDD-0EFE45C92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94320"/>
        <c:axId val="736696288"/>
      </c:lineChart>
      <c:catAx>
        <c:axId val="74167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683592"/>
        <c:crosses val="autoZero"/>
        <c:auto val="1"/>
        <c:lblAlgn val="ctr"/>
        <c:lblOffset val="100"/>
        <c:noMultiLvlLbl val="0"/>
      </c:catAx>
      <c:valAx>
        <c:axId val="74168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679984"/>
        <c:crosses val="autoZero"/>
        <c:crossBetween val="between"/>
      </c:valAx>
      <c:valAx>
        <c:axId val="736696288"/>
        <c:scaling>
          <c:orientation val="minMax"/>
          <c:min val="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694320"/>
        <c:crosses val="max"/>
        <c:crossBetween val="between"/>
      </c:valAx>
      <c:catAx>
        <c:axId val="73669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6696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'Sonae SGPS'!$C$6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F-442B-A6E2-503707F28739}"/>
                </c:ext>
              </c:extLst>
            </c:dLbl>
            <c:dLbl>
              <c:idx val="12"/>
              <c:layout>
                <c:manualLayout>
                  <c:x val="-1.3615827114261381E-16"/>
                  <c:y val="-3.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F-442B-A6E2-503707F28739}"/>
                </c:ext>
              </c:extLst>
            </c:dLbl>
            <c:dLbl>
              <c:idx val="15"/>
              <c:layout>
                <c:manualLayout>
                  <c:x val="0"/>
                  <c:y val="-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FF-442B-A6E2-503707F28739}"/>
                </c:ext>
              </c:extLst>
            </c:dLbl>
            <c:dLbl>
              <c:idx val="16"/>
              <c:layout>
                <c:manualLayout>
                  <c:x val="1.8567251461988304E-3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FF-442B-A6E2-503707F28739}"/>
                </c:ext>
              </c:extLst>
            </c:dLbl>
            <c:dLbl>
              <c:idx val="17"/>
              <c:layout>
                <c:manualLayout>
                  <c:x val="1.8567251461988304E-3"/>
                  <c:y val="-3.5277777777777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FF-442B-A6E2-503707F28739}"/>
                </c:ext>
              </c:extLst>
            </c:dLbl>
            <c:dLbl>
              <c:idx val="20"/>
              <c:layout>
                <c:manualLayout>
                  <c:x val="0"/>
                  <c:y val="-5.9972222222222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FF-442B-A6E2-503707F28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SGPS'!$I$6:$AE$6</c:f>
              <c:numCache>
                <c:formatCode>#,##0</c:formatCode>
                <c:ptCount val="23"/>
                <c:pt idx="0">
                  <c:v>2507.627485</c:v>
                </c:pt>
                <c:pt idx="1">
                  <c:v>4329.249425</c:v>
                </c:pt>
                <c:pt idx="2">
                  <c:v>6119.0744119999999</c:v>
                </c:pt>
                <c:pt idx="3">
                  <c:v>6822.6851710000001</c:v>
                </c:pt>
                <c:pt idx="4">
                  <c:v>6275.6634050000002</c:v>
                </c:pt>
                <c:pt idx="5">
                  <c:v>6259.7157150000003</c:v>
                </c:pt>
                <c:pt idx="6">
                  <c:v>7020.4006010000003</c:v>
                </c:pt>
                <c:pt idx="7">
                  <c:v>7174.3630670000002</c:v>
                </c:pt>
                <c:pt idx="8">
                  <c:v>4936.6456799999996</c:v>
                </c:pt>
                <c:pt idx="9">
                  <c:v>5217.1842790000001</c:v>
                </c:pt>
                <c:pt idx="10">
                  <c:v>5353.1039449999998</c:v>
                </c:pt>
                <c:pt idx="11">
                  <c:v>5665.1770740000002</c:v>
                </c:pt>
                <c:pt idx="12">
                  <c:v>5845.2865709999996</c:v>
                </c:pt>
                <c:pt idx="13">
                  <c:v>5738.1539910000001</c:v>
                </c:pt>
                <c:pt idx="14">
                  <c:v>4669.7874460000003</c:v>
                </c:pt>
                <c:pt idx="15">
                  <c:v>4821.3413410000003</c:v>
                </c:pt>
                <c:pt idx="16">
                  <c:v>4974.1265000000003</c:v>
                </c:pt>
                <c:pt idx="17">
                  <c:v>5014.2426230000001</c:v>
                </c:pt>
                <c:pt idx="18">
                  <c:v>5376</c:v>
                </c:pt>
                <c:pt idx="19">
                  <c:v>5710.1519360000002</c:v>
                </c:pt>
                <c:pt idx="20">
                  <c:v>5951</c:v>
                </c:pt>
                <c:pt idx="21">
                  <c:v>6052</c:v>
                </c:pt>
                <c:pt idx="22">
                  <c:v>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'Sonae SGPS'!$C$27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'Sonae SGPS'!$I$27:$AE$27</c:f>
              <c:numCache>
                <c:formatCode>0.0</c:formatCode>
                <c:ptCount val="23"/>
                <c:pt idx="0">
                  <c:v>0.61230785241612551</c:v>
                </c:pt>
                <c:pt idx="1">
                  <c:v>0.8331227069459044</c:v>
                </c:pt>
                <c:pt idx="2">
                  <c:v>0.32435935018336887</c:v>
                </c:pt>
                <c:pt idx="3">
                  <c:v>0.19509386211424823</c:v>
                </c:pt>
                <c:pt idx="4">
                  <c:v>0.10403330418897762</c:v>
                </c:pt>
                <c:pt idx="5">
                  <c:v>0.17215510241426352</c:v>
                </c:pt>
                <c:pt idx="6">
                  <c:v>0.24873965165908915</c:v>
                </c:pt>
                <c:pt idx="7">
                  <c:v>0.26841574395052842</c:v>
                </c:pt>
                <c:pt idx="8">
                  <c:v>0.49760913770906889</c:v>
                </c:pt>
                <c:pt idx="9">
                  <c:v>0.61944850462890844</c:v>
                </c:pt>
                <c:pt idx="10">
                  <c:v>0.1632697606808754</c:v>
                </c:pt>
                <c:pt idx="11">
                  <c:v>0.30713956108903084</c:v>
                </c:pt>
                <c:pt idx="12">
                  <c:v>0.25046847271160078</c:v>
                </c:pt>
                <c:pt idx="13">
                  <c:v>0.15046284943801885</c:v>
                </c:pt>
                <c:pt idx="14">
                  <c:v>0.27554808754779458</c:v>
                </c:pt>
                <c:pt idx="15">
                  <c:v>0.40838697381911832</c:v>
                </c:pt>
                <c:pt idx="16">
                  <c:v>0.40370183589018094</c:v>
                </c:pt>
                <c:pt idx="17">
                  <c:v>0.3923017189030823</c:v>
                </c:pt>
                <c:pt idx="18">
                  <c:v>0.32872544642857143</c:v>
                </c:pt>
                <c:pt idx="19">
                  <c:v>0.40030108228629796</c:v>
                </c:pt>
                <c:pt idx="20">
                  <c:v>0.27685094942026556</c:v>
                </c:pt>
                <c:pt idx="21">
                  <c:v>0.30598975545274293</c:v>
                </c:pt>
                <c:pt idx="22">
                  <c:v>0.19805273180020508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'Sonae SGPS'!$C$7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SGPS'!$I$7:$AE$7</c:f>
              <c:numCache>
                <c:formatCode>#,##0</c:formatCode>
                <c:ptCount val="23"/>
                <c:pt idx="0">
                  <c:v>201.85986500000001</c:v>
                </c:pt>
                <c:pt idx="1">
                  <c:v>341.69685500000003</c:v>
                </c:pt>
                <c:pt idx="2">
                  <c:v>203.681725</c:v>
                </c:pt>
                <c:pt idx="3">
                  <c:v>227.468703</c:v>
                </c:pt>
                <c:pt idx="4">
                  <c:v>566.04505799999993</c:v>
                </c:pt>
                <c:pt idx="5">
                  <c:v>557.59377100000006</c:v>
                </c:pt>
                <c:pt idx="6">
                  <c:v>919.99856100000011</c:v>
                </c:pt>
                <c:pt idx="7">
                  <c:v>927.40795700000012</c:v>
                </c:pt>
                <c:pt idx="8">
                  <c:v>341.11393600000002</c:v>
                </c:pt>
                <c:pt idx="9">
                  <c:v>372.33272799999997</c:v>
                </c:pt>
                <c:pt idx="10">
                  <c:v>620</c:v>
                </c:pt>
                <c:pt idx="11">
                  <c:v>667</c:v>
                </c:pt>
                <c:pt idx="12">
                  <c:v>728.95193700000004</c:v>
                </c:pt>
                <c:pt idx="13">
                  <c:v>670.99258699999996</c:v>
                </c:pt>
                <c:pt idx="14">
                  <c:v>330.43526500000002</c:v>
                </c:pt>
                <c:pt idx="15">
                  <c:v>377.56411300000002</c:v>
                </c:pt>
                <c:pt idx="16">
                  <c:v>417</c:v>
                </c:pt>
                <c:pt idx="17">
                  <c:v>393</c:v>
                </c:pt>
                <c:pt idx="18">
                  <c:v>320</c:v>
                </c:pt>
                <c:pt idx="19">
                  <c:v>395.93</c:v>
                </c:pt>
                <c:pt idx="20">
                  <c:v>381</c:v>
                </c:pt>
                <c:pt idx="21">
                  <c:v>695</c:v>
                </c:pt>
                <c:pt idx="22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'Sonae SGPS'!$C$28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'Sonae SGPS'!$I$28:$AE$28</c:f>
              <c:numCache>
                <c:formatCode>0.0</c:formatCode>
                <c:ptCount val="23"/>
                <c:pt idx="0">
                  <c:v>7.6064650097729922</c:v>
                </c:pt>
                <c:pt idx="1">
                  <c:v>10.555543450934016</c:v>
                </c:pt>
                <c:pt idx="2">
                  <c:v>9.7445119339989876</c:v>
                </c:pt>
                <c:pt idx="3">
                  <c:v>5.8516357742629763</c:v>
                </c:pt>
                <c:pt idx="4">
                  <c:v>1.1534028798110276</c:v>
                </c:pt>
                <c:pt idx="5">
                  <c:v>1.9326650619990511</c:v>
                </c:pt>
                <c:pt idx="6">
                  <c:v>1.8981029688806219</c:v>
                </c:pt>
                <c:pt idx="7">
                  <c:v>2.0764454148413134</c:v>
                </c:pt>
                <c:pt idx="8">
                  <c:v>7.2014647915176351</c:v>
                </c:pt>
                <c:pt idx="9">
                  <c:v>8.6798090980602716</c:v>
                </c:pt>
                <c:pt idx="10">
                  <c:v>1.4096774193548387</c:v>
                </c:pt>
                <c:pt idx="11">
                  <c:v>2.6086956521739131</c:v>
                </c:pt>
                <c:pt idx="12">
                  <c:v>2.0084451740746245</c:v>
                </c:pt>
                <c:pt idx="13">
                  <c:v>1.2867191333069081</c:v>
                </c:pt>
                <c:pt idx="14">
                  <c:v>3.8941091835340278</c:v>
                </c:pt>
                <c:pt idx="15">
                  <c:v>5.2149368337874842</c:v>
                </c:pt>
                <c:pt idx="16">
                  <c:v>4.8155011990407672</c:v>
                </c:pt>
                <c:pt idx="17">
                  <c:v>5.0053333333333336</c:v>
                </c:pt>
                <c:pt idx="18">
                  <c:v>5.5225875000000002</c:v>
                </c:pt>
                <c:pt idx="19">
                  <c:v>5.7731922309499151</c:v>
                </c:pt>
                <c:pt idx="20">
                  <c:v>4.3242519685039378</c:v>
                </c:pt>
                <c:pt idx="21">
                  <c:v>2.6645323741007196</c:v>
                </c:pt>
                <c:pt idx="22">
                  <c:v>2.142798732171157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'Sonae SGPS'!$C$32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SGPS'!$I$32:$AE$32</c:f>
              <c:numCache>
                <c:formatCode>0.0%</c:formatCode>
                <c:ptCount val="23"/>
                <c:pt idx="0">
                  <c:v>8.0498346029254819E-2</c:v>
                </c:pt>
                <c:pt idx="1">
                  <c:v>7.892750485264545E-2</c:v>
                </c:pt>
                <c:pt idx="2">
                  <c:v>3.3286361839392514E-2</c:v>
                </c:pt>
                <c:pt idx="3">
                  <c:v>3.3340055608437218E-2</c:v>
                </c:pt>
                <c:pt idx="4">
                  <c:v>9.0196847961765386E-2</c:v>
                </c:pt>
                <c:pt idx="5">
                  <c:v>8.9076532607359801E-2</c:v>
                </c:pt>
                <c:pt idx="6">
                  <c:v>0.13104644781509386</c:v>
                </c:pt>
                <c:pt idx="7">
                  <c:v>0.12926693956510357</c:v>
                </c:pt>
                <c:pt idx="8">
                  <c:v>6.9098322648912497E-2</c:v>
                </c:pt>
                <c:pt idx="9">
                  <c:v>7.1366604683430229E-2</c:v>
                </c:pt>
                <c:pt idx="10">
                  <c:v>0.11582065402991161</c:v>
                </c:pt>
                <c:pt idx="11">
                  <c:v>0.11773683175079515</c:v>
                </c:pt>
                <c:pt idx="12">
                  <c:v>0.12470764746018131</c:v>
                </c:pt>
                <c:pt idx="13">
                  <c:v>0.11693527013259271</c:v>
                </c:pt>
                <c:pt idx="14">
                  <c:v>7.076023669622071E-2</c:v>
                </c:pt>
                <c:pt idx="15">
                  <c:v>7.8311010628774311E-2</c:v>
                </c:pt>
                <c:pt idx="16">
                  <c:v>8.3833814841661136E-2</c:v>
                </c:pt>
                <c:pt idx="17">
                  <c:v>7.8376741922565718E-2</c:v>
                </c:pt>
                <c:pt idx="18">
                  <c:v>5.9523809523809521E-2</c:v>
                </c:pt>
                <c:pt idx="19">
                  <c:v>6.9337909820548771E-2</c:v>
                </c:pt>
                <c:pt idx="20">
                  <c:v>6.4022853301966054E-2</c:v>
                </c:pt>
                <c:pt idx="21">
                  <c:v>0.11483807005948447</c:v>
                </c:pt>
                <c:pt idx="22">
                  <c:v>9.242712758166105E-2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'Sonae SGPS'!$C$33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SGPS'!$I$33:$AE$33</c:f>
              <c:numCache>
                <c:formatCode>0.0%</c:formatCode>
                <c:ptCount val="23"/>
                <c:pt idx="0">
                  <c:v>5.1359311050141881E-2</c:v>
                </c:pt>
                <c:pt idx="1">
                  <c:v>3.4200551981363375E-2</c:v>
                </c:pt>
                <c:pt idx="2">
                  <c:v>3.3278585826748072E-2</c:v>
                </c:pt>
                <c:pt idx="3">
                  <c:v>3.3204985621049114E-2</c:v>
                </c:pt>
                <c:pt idx="4">
                  <c:v>3.0199850879350974E-2</c:v>
                </c:pt>
                <c:pt idx="5">
                  <c:v>2.8056387701306335E-2</c:v>
                </c:pt>
                <c:pt idx="6">
                  <c:v>8.4526582274446482E-2</c:v>
                </c:pt>
                <c:pt idx="7">
                  <c:v>8.6147844795153861E-2</c:v>
                </c:pt>
                <c:pt idx="8">
                  <c:v>2.3161169225335211E-2</c:v>
                </c:pt>
                <c:pt idx="9">
                  <c:v>2.6332326146304402E-2</c:v>
                </c:pt>
                <c:pt idx="10">
                  <c:v>6.2020092157952671E-2</c:v>
                </c:pt>
                <c:pt idx="11">
                  <c:v>6.1604429206937796E-2</c:v>
                </c:pt>
                <c:pt idx="12">
                  <c:v>7.0013976223236907E-2</c:v>
                </c:pt>
                <c:pt idx="13">
                  <c:v>5.6057518934576812E-2</c:v>
                </c:pt>
                <c:pt idx="14">
                  <c:v>5.573210065972669E-2</c:v>
                </c:pt>
                <c:pt idx="15">
                  <c:v>5.9398345552651048E-2</c:v>
                </c:pt>
                <c:pt idx="16">
                  <c:v>4.5837193726375874E-2</c:v>
                </c:pt>
                <c:pt idx="17">
                  <c:v>4.1082974137528087E-2</c:v>
                </c:pt>
                <c:pt idx="18">
                  <c:v>3.9620535714285712E-2</c:v>
                </c:pt>
                <c:pt idx="19">
                  <c:v>3.1852042124015385E-2</c:v>
                </c:pt>
                <c:pt idx="20">
                  <c:v>4.3354058141488828E-2</c:v>
                </c:pt>
                <c:pt idx="21">
                  <c:v>3.4692663582286849E-2</c:v>
                </c:pt>
                <c:pt idx="22">
                  <c:v>3.1639080123040869E-2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'Sonae SGPS'!$C$35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SGPS'!$I$35:$AE$35</c:f>
              <c:numCache>
                <c:formatCode>0.0%</c:formatCode>
                <c:ptCount val="23"/>
                <c:pt idx="0">
                  <c:v>2.8327291603282137E-2</c:v>
                </c:pt>
                <c:pt idx="1">
                  <c:v>1.5493021633882876E-2</c:v>
                </c:pt>
                <c:pt idx="2">
                  <c:v>4.1788374806905358E-2</c:v>
                </c:pt>
                <c:pt idx="3">
                  <c:v>8.0656893320983046E-3</c:v>
                </c:pt>
                <c:pt idx="4">
                  <c:v>-8.9276212544098354E-3</c:v>
                </c:pt>
                <c:pt idx="5">
                  <c:v>1.8285001941178412E-2</c:v>
                </c:pt>
                <c:pt idx="6">
                  <c:v>5.923915295385862E-2</c:v>
                </c:pt>
                <c:pt idx="7">
                  <c:v>9.0348369457561487E-2</c:v>
                </c:pt>
                <c:pt idx="8">
                  <c:v>6.8604898741689721E-2</c:v>
                </c:pt>
                <c:pt idx="9">
                  <c:v>6.837291207746507E-2</c:v>
                </c:pt>
                <c:pt idx="10">
                  <c:v>7.3001145506431967E-3</c:v>
                </c:pt>
                <c:pt idx="11">
                  <c:v>1.2995221338777875E-2</c:v>
                </c:pt>
                <c:pt idx="12">
                  <c:v>3.4124347981432782E-2</c:v>
                </c:pt>
                <c:pt idx="13">
                  <c:v>2.419167858125193E-2</c:v>
                </c:pt>
                <c:pt idx="14">
                  <c:v>1.5351958483979357E-2</c:v>
                </c:pt>
                <c:pt idx="15">
                  <c:v>9.6242985547203966E-2</c:v>
                </c:pt>
                <c:pt idx="16">
                  <c:v>2.925415507627319E-2</c:v>
                </c:pt>
                <c:pt idx="17">
                  <c:v>3.5254766131407433E-2</c:v>
                </c:pt>
                <c:pt idx="18">
                  <c:v>3.9992559523809521E-2</c:v>
                </c:pt>
                <c:pt idx="19">
                  <c:v>2.9027248636769021E-2</c:v>
                </c:pt>
                <c:pt idx="20">
                  <c:v>3.7245841035120152E-2</c:v>
                </c:pt>
                <c:pt idx="21">
                  <c:v>2.4686054196959684E-2</c:v>
                </c:pt>
                <c:pt idx="22">
                  <c:v>1.0399882818221767E-2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'Sonae SGPS'!$C$12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SGPS'!$I$12:$AE$12</c:f>
              <c:numCache>
                <c:formatCode>#,##0</c:formatCode>
                <c:ptCount val="23"/>
                <c:pt idx="0">
                  <c:v>71.034295</c:v>
                </c:pt>
                <c:pt idx="1">
                  <c:v>67.073155</c:v>
                </c:pt>
                <c:pt idx="2">
                  <c:v>255.706175</c:v>
                </c:pt>
                <c:pt idx="3">
                  <c:v>55.029659000000002</c:v>
                </c:pt>
                <c:pt idx="4">
                  <c:v>-56.026745999999996</c:v>
                </c:pt>
                <c:pt idx="5">
                  <c:v>114.45891400000001</c:v>
                </c:pt>
                <c:pt idx="6">
                  <c:v>415.88258500000001</c:v>
                </c:pt>
                <c:pt idx="7">
                  <c:v>648.19200499999999</c:v>
                </c:pt>
                <c:pt idx="8">
                  <c:v>338.67807699999997</c:v>
                </c:pt>
                <c:pt idx="9">
                  <c:v>356.71408200000002</c:v>
                </c:pt>
                <c:pt idx="10">
                  <c:v>39.078271999999998</c:v>
                </c:pt>
                <c:pt idx="11">
                  <c:v>73.620230000000006</c:v>
                </c:pt>
                <c:pt idx="12">
                  <c:v>199.46659299999999</c:v>
                </c:pt>
                <c:pt idx="13">
                  <c:v>138.81557699999999</c:v>
                </c:pt>
                <c:pt idx="14">
                  <c:v>71.690382999999997</c:v>
                </c:pt>
                <c:pt idx="15">
                  <c:v>464.020285</c:v>
                </c:pt>
                <c:pt idx="16">
                  <c:v>145.513868</c:v>
                </c:pt>
                <c:pt idx="17">
                  <c:v>176.77595099999999</c:v>
                </c:pt>
                <c:pt idx="18">
                  <c:v>215</c:v>
                </c:pt>
                <c:pt idx="19">
                  <c:v>165.75</c:v>
                </c:pt>
                <c:pt idx="20">
                  <c:v>221.65</c:v>
                </c:pt>
                <c:pt idx="21">
                  <c:v>149.4</c:v>
                </c:pt>
                <c:pt idx="2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'Sonae SGPS'!$C$36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elete val="1"/>
          </c:dLbls>
          <c:val>
            <c:numRef>
              <c:f>'Sonae SGPS'!$I$36:$AE$36</c:f>
              <c:numCache>
                <c:formatCode>0.0</c:formatCode>
                <c:ptCount val="23"/>
                <c:pt idx="0">
                  <c:v>21.615474609834589</c:v>
                </c:pt>
                <c:pt idx="1">
                  <c:v>53.774062067007286</c:v>
                </c:pt>
                <c:pt idx="2">
                  <c:v>7.761951779224729</c:v>
                </c:pt>
                <c:pt idx="3">
                  <c:v>24.188120082663062</c:v>
                </c:pt>
                <c:pt idx="4">
                  <c:v>0</c:v>
                </c:pt>
                <c:pt idx="5">
                  <c:v>9.4150989410925199</c:v>
                </c:pt>
                <c:pt idx="6">
                  <c:v>4.198906285051585</c:v>
                </c:pt>
                <c:pt idx="7">
                  <c:v>2.9708974889315396</c:v>
                </c:pt>
                <c:pt idx="8">
                  <c:v>7.2532595607007657</c:v>
                </c:pt>
                <c:pt idx="9">
                  <c:v>9.0598525908489353</c:v>
                </c:pt>
                <c:pt idx="10">
                  <c:v>22.36536968676609</c:v>
                </c:pt>
                <c:pt idx="11">
                  <c:v>23.634807986880777</c:v>
                </c:pt>
                <c:pt idx="12">
                  <c:v>7.3398757054019566</c:v>
                </c:pt>
                <c:pt idx="13">
                  <c:v>6.2196117947195511</c:v>
                </c:pt>
                <c:pt idx="14">
                  <c:v>17.94872542388287</c:v>
                </c:pt>
                <c:pt idx="15">
                  <c:v>4.243290786306896</c:v>
                </c:pt>
                <c:pt idx="16">
                  <c:v>13.799811850235471</c:v>
                </c:pt>
                <c:pt idx="17">
                  <c:v>11.127622218250718</c:v>
                </c:pt>
                <c:pt idx="18">
                  <c:v>8.2196651162790708</c:v>
                </c:pt>
                <c:pt idx="19">
                  <c:v>13.790527903469078</c:v>
                </c:pt>
                <c:pt idx="20">
                  <c:v>7.4330701556508014</c:v>
                </c:pt>
                <c:pt idx="21">
                  <c:v>12.395247657295851</c:v>
                </c:pt>
                <c:pt idx="22">
                  <c:v>19.043746478873238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'Sonae SGPS'!$C$38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B-44D2-BD70-9EAFF3929E2F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EB-44D2-BD70-9EAFF3929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SGPS'!$I$38:$AF$38</c:f>
              <c:numCache>
                <c:formatCode>0%</c:formatCode>
                <c:ptCount val="24"/>
                <c:pt idx="0">
                  <c:v>0.28174109406291059</c:v>
                </c:pt>
                <c:pt idx="1">
                  <c:v>0.1236914430698015</c:v>
                </c:pt>
                <c:pt idx="2">
                  <c:v>0.11268805011292961</c:v>
                </c:pt>
                <c:pt idx="3">
                  <c:v>0.24293782532924155</c:v>
                </c:pt>
                <c:pt idx="4">
                  <c:v>0.34988014316655841</c:v>
                </c:pt>
                <c:pt idx="5">
                  <c:v>0.3015064495629004</c:v>
                </c:pt>
                <c:pt idx="6">
                  <c:v>0.31390490328587844</c:v>
                </c:pt>
                <c:pt idx="7">
                  <c:v>0.40252932378027756</c:v>
                </c:pt>
                <c:pt idx="8">
                  <c:v>6.7468276206235273E-2</c:v>
                </c:pt>
                <c:pt idx="9">
                  <c:v>8.4908635899492366E-2</c:v>
                </c:pt>
                <c:pt idx="10">
                  <c:v>0.21247403345717375</c:v>
                </c:pt>
                <c:pt idx="11">
                  <c:v>0.20515723251769766</c:v>
                </c:pt>
                <c:pt idx="12">
                  <c:v>0.21984318795809113</c:v>
                </c:pt>
                <c:pt idx="13">
                  <c:v>0.16370046571424041</c:v>
                </c:pt>
                <c:pt idx="14">
                  <c:v>0.15597714933795856</c:v>
                </c:pt>
                <c:pt idx="15">
                  <c:v>0.15008541760112251</c:v>
                </c:pt>
                <c:pt idx="16">
                  <c:v>0.12084415198995978</c:v>
                </c:pt>
                <c:pt idx="17">
                  <c:v>0.1242086222490202</c:v>
                </c:pt>
                <c:pt idx="18">
                  <c:v>0.11247821724665998</c:v>
                </c:pt>
                <c:pt idx="19">
                  <c:v>9.2456283041886939E-2</c:v>
                </c:pt>
                <c:pt idx="20">
                  <c:v>0.12470997679814384</c:v>
                </c:pt>
                <c:pt idx="21">
                  <c:v>9.8489539356412414E-2</c:v>
                </c:pt>
                <c:pt idx="22">
                  <c:v>0.10839020473705339</c:v>
                </c:pt>
                <c:pt idx="23">
                  <c:v>0.12496293856036896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'Sonae SGPS'!$C$39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B-44D2-BD70-9EAFF3929E2F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B-44D2-BD70-9EAFF3929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SGPS'!$J$39:$AF$39</c:f>
              <c:numCache>
                <c:formatCode>0%</c:formatCode>
                <c:ptCount val="23"/>
                <c:pt idx="0">
                  <c:v>5.6032844278387367E-2</c:v>
                </c:pt>
                <c:pt idx="1">
                  <c:v>0.14150392384142352</c:v>
                </c:pt>
                <c:pt idx="2">
                  <c:v>5.9011048776937122E-2</c:v>
                </c:pt>
                <c:pt idx="3">
                  <c:v>-0.10343088828844085</c:v>
                </c:pt>
                <c:pt idx="4">
                  <c:v>0.196498782174968</c:v>
                </c:pt>
                <c:pt idx="5">
                  <c:v>0.21999541538709541</c:v>
                </c:pt>
                <c:pt idx="6">
                  <c:v>0.42215644684878684</c:v>
                </c:pt>
                <c:pt idx="7">
                  <c:v>0.19984544874971158</c:v>
                </c:pt>
                <c:pt idx="8">
                  <c:v>0.22046858544581141</c:v>
                </c:pt>
                <c:pt idx="9">
                  <c:v>2.5009391784266675E-2</c:v>
                </c:pt>
                <c:pt idx="10">
                  <c:v>4.3277142246751811E-2</c:v>
                </c:pt>
                <c:pt idx="11">
                  <c:v>0.10715011276190878</c:v>
                </c:pt>
                <c:pt idx="12">
                  <c:v>7.0645100343844747E-2</c:v>
                </c:pt>
                <c:pt idx="13">
                  <c:v>4.2965448865919909E-2</c:v>
                </c:pt>
                <c:pt idx="14">
                  <c:v>0.2431830136451707</c:v>
                </c:pt>
                <c:pt idx="15">
                  <c:v>7.7124999917714668E-2</c:v>
                </c:pt>
                <c:pt idx="16">
                  <c:v>0.1065878510702442</c:v>
                </c:pt>
                <c:pt idx="17">
                  <c:v>0.11353435074193378</c:v>
                </c:pt>
                <c:pt idx="18">
                  <c:v>8.4256811712078078E-2</c:v>
                </c:pt>
                <c:pt idx="19">
                  <c:v>0.10713940448569219</c:v>
                </c:pt>
                <c:pt idx="20">
                  <c:v>7.0081621165212493E-2</c:v>
                </c:pt>
                <c:pt idx="21">
                  <c:v>3.5628261742272183E-2</c:v>
                </c:pt>
                <c:pt idx="22">
                  <c:v>6.5578158458244107E-2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'Sonae SGPS'!$C$37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'Sonae SGPS'!$I$3:$AF$3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'Sonae SGPS'!$I$37:$AF$37</c:f>
              <c:numCache>
                <c:formatCode>0.0</c:formatCode>
                <c:ptCount val="24"/>
                <c:pt idx="0">
                  <c:v>3.3589290961206117</c:v>
                </c:pt>
                <c:pt idx="1">
                  <c:v>3.0131136460169565</c:v>
                </c:pt>
                <c:pt idx="2">
                  <c:v>1.0983466334282179</c:v>
                </c:pt>
                <c:pt idx="3">
                  <c:v>1.4273663340204423</c:v>
                </c:pt>
                <c:pt idx="4">
                  <c:v>1.2052770561399497</c:v>
                </c:pt>
                <c:pt idx="5">
                  <c:v>1.8500554759815109</c:v>
                </c:pt>
                <c:pt idx="6">
                  <c:v>0.92374013235140917</c:v>
                </c:pt>
                <c:pt idx="7">
                  <c:v>1.2541835278793219</c:v>
                </c:pt>
                <c:pt idx="8">
                  <c:v>1.4495309118063804</c:v>
                </c:pt>
                <c:pt idx="9">
                  <c:v>1.9974128850520345</c:v>
                </c:pt>
                <c:pt idx="10">
                  <c:v>0.55934429289629473</c:v>
                </c:pt>
                <c:pt idx="11">
                  <c:v>1.0228469472229051</c:v>
                </c:pt>
                <c:pt idx="12">
                  <c:v>0.78646850949221436</c:v>
                </c:pt>
                <c:pt idx="13">
                  <c:v>0.43938509933772307</c:v>
                </c:pt>
                <c:pt idx="14">
                  <c:v>0.771175044408276</c:v>
                </c:pt>
                <c:pt idx="15">
                  <c:v>1.031896241186897</c:v>
                </c:pt>
                <c:pt idx="16">
                  <c:v>1.0643104878138887</c:v>
                </c:pt>
                <c:pt idx="17">
                  <c:v>1.1860693397648479</c:v>
                </c:pt>
                <c:pt idx="18">
                  <c:v>0.93321434229286582</c:v>
                </c:pt>
                <c:pt idx="19">
                  <c:v>1.161945912972753</c:v>
                </c:pt>
                <c:pt idx="20">
                  <c:v>0.79637470997679816</c:v>
                </c:pt>
                <c:pt idx="21">
                  <c:v>0.86867905056759542</c:v>
                </c:pt>
                <c:pt idx="22">
                  <c:v>0.67849558410277</c:v>
                </c:pt>
                <c:pt idx="23">
                  <c:v>0.82605830999835272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'Sonae SGPS'!$C$41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'Sonae SGPS'!$I$41:$AF$41</c:f>
              <c:numCache>
                <c:formatCode>0.0</c:formatCode>
                <c:ptCount val="24"/>
                <c:pt idx="0">
                  <c:v>0.72250931042161126</c:v>
                </c:pt>
                <c:pt idx="1">
                  <c:v>0.74855165524523526</c:v>
                </c:pt>
                <c:pt idx="2">
                  <c:v>0.72046371955644395</c:v>
                </c:pt>
                <c:pt idx="3">
                  <c:v>0.667478095356836</c:v>
                </c:pt>
                <c:pt idx="4">
                  <c:v>0.71247065262805609</c:v>
                </c:pt>
                <c:pt idx="5">
                  <c:v>0.74880999742849752</c:v>
                </c:pt>
                <c:pt idx="6">
                  <c:v>0.71419117629542517</c:v>
                </c:pt>
                <c:pt idx="7">
                  <c:v>1.0629300200615301</c:v>
                </c:pt>
                <c:pt idx="8">
                  <c:v>0.85290561289984856</c:v>
                </c:pt>
                <c:pt idx="9">
                  <c:v>0.77820784845940627</c:v>
                </c:pt>
                <c:pt idx="10">
                  <c:v>0.65250872440664476</c:v>
                </c:pt>
                <c:pt idx="11">
                  <c:v>0.6305364179300359</c:v>
                </c:pt>
                <c:pt idx="12">
                  <c:v>0.6696709626847912</c:v>
                </c:pt>
                <c:pt idx="13">
                  <c:v>0.65193946991052154</c:v>
                </c:pt>
                <c:pt idx="14">
                  <c:v>0.60661511451499139</c:v>
                </c:pt>
                <c:pt idx="15">
                  <c:v>0.75821904934683315</c:v>
                </c:pt>
                <c:pt idx="16">
                  <c:v>0.74743453723477959</c:v>
                </c:pt>
                <c:pt idx="17">
                  <c:v>0.66718099138373843</c:v>
                </c:pt>
                <c:pt idx="18">
                  <c:v>0.67263543270875303</c:v>
                </c:pt>
                <c:pt idx="19">
                  <c:v>0.68177129537384074</c:v>
                </c:pt>
                <c:pt idx="20">
                  <c:v>0.69751844399731733</c:v>
                </c:pt>
                <c:pt idx="21">
                  <c:v>0.73662605932203395</c:v>
                </c:pt>
                <c:pt idx="22">
                  <c:v>0.78777212879676706</c:v>
                </c:pt>
                <c:pt idx="23">
                  <c:v>0.7437881703338074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'Sonae SGPS'!$C$45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'Sonae SGPS'!$L$45:$AF$45</c:f>
              <c:numCache>
                <c:formatCode>0.0</c:formatCode>
                <c:ptCount val="21"/>
                <c:pt idx="0">
                  <c:v>6.8806945870175324</c:v>
                </c:pt>
                <c:pt idx="1">
                  <c:v>12.132605573883664</c:v>
                </c:pt>
                <c:pt idx="2">
                  <c:v>10.888612017047686</c:v>
                </c:pt>
                <c:pt idx="3">
                  <c:v>3.5479917869939683</c:v>
                </c:pt>
                <c:pt idx="4">
                  <c:v>3.1074394140746375</c:v>
                </c:pt>
                <c:pt idx="5">
                  <c:v>2.7297876014897562</c:v>
                </c:pt>
                <c:pt idx="6">
                  <c:v>3.3425479805809291</c:v>
                </c:pt>
                <c:pt idx="7">
                  <c:v>3.6758305597328196</c:v>
                </c:pt>
                <c:pt idx="8">
                  <c:v>3.4391700372976146</c:v>
                </c:pt>
                <c:pt idx="9">
                  <c:v>3.0567079539517361</c:v>
                </c:pt>
                <c:pt idx="10">
                  <c:v>2.9393532093004624</c:v>
                </c:pt>
                <c:pt idx="11">
                  <c:v>2.6171065834360188</c:v>
                </c:pt>
                <c:pt idx="12">
                  <c:v>1.8701351175500383</c:v>
                </c:pt>
                <c:pt idx="13">
                  <c:v>1.8913308533915536</c:v>
                </c:pt>
                <c:pt idx="14">
                  <c:v>2.1543563460958697</c:v>
                </c:pt>
                <c:pt idx="15">
                  <c:v>1.9097005861540899</c:v>
                </c:pt>
                <c:pt idx="16">
                  <c:v>1.8490239934932899</c:v>
                </c:pt>
                <c:pt idx="17">
                  <c:v>3.3285962877030157</c:v>
                </c:pt>
                <c:pt idx="18">
                  <c:v>3.2425649685711604</c:v>
                </c:pt>
                <c:pt idx="19">
                  <c:v>3.0891710156563632</c:v>
                </c:pt>
                <c:pt idx="20">
                  <c:v>2.3618843683083512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'Sporting SAD'!$C$26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SAD'!$F$26:$AB$26</c:f>
              <c:numCache>
                <c:formatCode>#,##0</c:formatCode>
                <c:ptCount val="23"/>
                <c:pt idx="0">
                  <c:v>29.400000000000002</c:v>
                </c:pt>
                <c:pt idx="1">
                  <c:v>31.080000000000002</c:v>
                </c:pt>
                <c:pt idx="2">
                  <c:v>19.25</c:v>
                </c:pt>
                <c:pt idx="3">
                  <c:v>31.459999999999997</c:v>
                </c:pt>
                <c:pt idx="4">
                  <c:v>30.58</c:v>
                </c:pt>
                <c:pt idx="5">
                  <c:v>54.18</c:v>
                </c:pt>
                <c:pt idx="6">
                  <c:v>54.809999999999995</c:v>
                </c:pt>
                <c:pt idx="7">
                  <c:v>56.28</c:v>
                </c:pt>
                <c:pt idx="8">
                  <c:v>40.74</c:v>
                </c:pt>
                <c:pt idx="9">
                  <c:v>28.560000000000002</c:v>
                </c:pt>
                <c:pt idx="10">
                  <c:v>27.09</c:v>
                </c:pt>
                <c:pt idx="11">
                  <c:v>14.489999999999998</c:v>
                </c:pt>
                <c:pt idx="12">
                  <c:v>17.16</c:v>
                </c:pt>
                <c:pt idx="13">
                  <c:v>6.24</c:v>
                </c:pt>
                <c:pt idx="14">
                  <c:v>30.810000000000002</c:v>
                </c:pt>
                <c:pt idx="15">
                  <c:v>18.72</c:v>
                </c:pt>
                <c:pt idx="16">
                  <c:v>73.7</c:v>
                </c:pt>
                <c:pt idx="17">
                  <c:v>41.54</c:v>
                </c:pt>
                <c:pt idx="18">
                  <c:v>44.89</c:v>
                </c:pt>
                <c:pt idx="19">
                  <c:v>48.91</c:v>
                </c:pt>
                <c:pt idx="20">
                  <c:v>51.255000000000003</c:v>
                </c:pt>
                <c:pt idx="21">
                  <c:v>57.954999999999998</c:v>
                </c:pt>
                <c:pt idx="22">
                  <c:v>59.63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'Sporting SAD'!$C$5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SAD'!$F$5:$AB$5</c:f>
              <c:numCache>
                <c:formatCode>#,##0</c:formatCode>
                <c:ptCount val="23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11</c:v>
                </c:pt>
                <c:pt idx="4">
                  <c:v>11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67</c:v>
                </c:pt>
                <c:pt idx="17">
                  <c:v>67</c:v>
                </c:pt>
                <c:pt idx="18">
                  <c:v>67</c:v>
                </c:pt>
                <c:pt idx="19">
                  <c:v>67</c:v>
                </c:pt>
                <c:pt idx="20">
                  <c:v>67</c:v>
                </c:pt>
                <c:pt idx="21">
                  <c:v>67</c:v>
                </c:pt>
                <c:pt idx="22">
                  <c:v>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'Sporting SAD'!$C$6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SAD'!$F$6:$AB$6</c:f>
              <c:numCache>
                <c:formatCode>#,##0</c:formatCode>
                <c:ptCount val="23"/>
                <c:pt idx="0">
                  <c:v>13.393875</c:v>
                </c:pt>
                <c:pt idx="1">
                  <c:v>15.931134999999999</c:v>
                </c:pt>
                <c:pt idx="2">
                  <c:v>15.856</c:v>
                </c:pt>
                <c:pt idx="3">
                  <c:v>21.477</c:v>
                </c:pt>
                <c:pt idx="4">
                  <c:v>17.606999999999999</c:v>
                </c:pt>
                <c:pt idx="5">
                  <c:v>23.667999999999999</c:v>
                </c:pt>
                <c:pt idx="6">
                  <c:v>29.815000000000001</c:v>
                </c:pt>
                <c:pt idx="7">
                  <c:v>27.81</c:v>
                </c:pt>
                <c:pt idx="8">
                  <c:v>40.103999999999999</c:v>
                </c:pt>
                <c:pt idx="9">
                  <c:v>45.460999999999999</c:v>
                </c:pt>
                <c:pt idx="10">
                  <c:v>46.822000000000003</c:v>
                </c:pt>
                <c:pt idx="11">
                  <c:v>34.195</c:v>
                </c:pt>
                <c:pt idx="12">
                  <c:v>35.366</c:v>
                </c:pt>
                <c:pt idx="13">
                  <c:v>40.765000000000001</c:v>
                </c:pt>
                <c:pt idx="14">
                  <c:v>32.000999999999998</c:v>
                </c:pt>
                <c:pt idx="15">
                  <c:v>35.344000000000001</c:v>
                </c:pt>
                <c:pt idx="16">
                  <c:v>58.381999999999998</c:v>
                </c:pt>
                <c:pt idx="17">
                  <c:v>68.75</c:v>
                </c:pt>
                <c:pt idx="18">
                  <c:v>80.001000000000005</c:v>
                </c:pt>
                <c:pt idx="19">
                  <c:v>91.74</c:v>
                </c:pt>
                <c:pt idx="20">
                  <c:v>75.84</c:v>
                </c:pt>
                <c:pt idx="21">
                  <c:v>68.53</c:v>
                </c:pt>
                <c:pt idx="22">
                  <c:v>64.45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'Sporting SAD'!$C$27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'Sporting SAD'!$F$27:$AB$27</c:f>
              <c:numCache>
                <c:formatCode>0.0</c:formatCode>
                <c:ptCount val="23"/>
                <c:pt idx="0">
                  <c:v>2.1950331774785119</c:v>
                </c:pt>
                <c:pt idx="1">
                  <c:v>1.9508967816793972</c:v>
                </c:pt>
                <c:pt idx="2">
                  <c:v>1.2140514631685166</c:v>
                </c:pt>
                <c:pt idx="3">
                  <c:v>1.4648228337291054</c:v>
                </c:pt>
                <c:pt idx="4">
                  <c:v>1.7368092236042483</c:v>
                </c:pt>
                <c:pt idx="5">
                  <c:v>2.2891668075038027</c:v>
                </c:pt>
                <c:pt idx="6">
                  <c:v>1.8383364078483981</c:v>
                </c:pt>
                <c:pt idx="7">
                  <c:v>2.0237324703344122</c:v>
                </c:pt>
                <c:pt idx="8">
                  <c:v>1.0158587672052664</c:v>
                </c:pt>
                <c:pt idx="9">
                  <c:v>0.62823079122764569</c:v>
                </c:pt>
                <c:pt idx="10">
                  <c:v>0.57857417453333904</c:v>
                </c:pt>
                <c:pt idx="11">
                  <c:v>0.4237461617195496</c:v>
                </c:pt>
                <c:pt idx="12">
                  <c:v>0.48521178533054349</c:v>
                </c:pt>
                <c:pt idx="13">
                  <c:v>0.153072488654483</c:v>
                </c:pt>
                <c:pt idx="14">
                  <c:v>0.96278241304959233</c:v>
                </c:pt>
                <c:pt idx="15">
                  <c:v>0.52965142598460835</c:v>
                </c:pt>
                <c:pt idx="16">
                  <c:v>1.2623753896748999</c:v>
                </c:pt>
                <c:pt idx="17">
                  <c:v>0.60421818181818177</c:v>
                </c:pt>
                <c:pt idx="18">
                  <c:v>0.56111798602517471</c:v>
                </c:pt>
                <c:pt idx="19">
                  <c:v>0.5331371266623065</c:v>
                </c:pt>
                <c:pt idx="20">
                  <c:v>0.67583069620253167</c:v>
                </c:pt>
                <c:pt idx="21">
                  <c:v>0.84568801984532316</c:v>
                </c:pt>
                <c:pt idx="22">
                  <c:v>0.92521334367726915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'Sporting SAD'!$C$7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SAD'!$F$7:$AB$7</c:f>
              <c:numCache>
                <c:formatCode>#,##0</c:formatCode>
                <c:ptCount val="23"/>
                <c:pt idx="0">
                  <c:v>-5.6626600000000007</c:v>
                </c:pt>
                <c:pt idx="1">
                  <c:v>-13.031675</c:v>
                </c:pt>
                <c:pt idx="2">
                  <c:v>-7.2220000000000013</c:v>
                </c:pt>
                <c:pt idx="3">
                  <c:v>-14.729000000000003</c:v>
                </c:pt>
                <c:pt idx="4">
                  <c:v>-14.27</c:v>
                </c:pt>
                <c:pt idx="5">
                  <c:v>3.984</c:v>
                </c:pt>
                <c:pt idx="6">
                  <c:v>4.6539999999999999</c:v>
                </c:pt>
                <c:pt idx="7">
                  <c:v>12.387</c:v>
                </c:pt>
                <c:pt idx="8">
                  <c:v>26.743000000000002</c:v>
                </c:pt>
                <c:pt idx="9">
                  <c:v>9.6140000000000008</c:v>
                </c:pt>
                <c:pt idx="10">
                  <c:v>2.16</c:v>
                </c:pt>
                <c:pt idx="11">
                  <c:v>2.1140000000000008</c:v>
                </c:pt>
                <c:pt idx="12">
                  <c:v>0.42899999999999849</c:v>
                </c:pt>
                <c:pt idx="13">
                  <c:v>-24.636000000000003</c:v>
                </c:pt>
                <c:pt idx="14">
                  <c:v>-16.847999999999999</c:v>
                </c:pt>
                <c:pt idx="15">
                  <c:v>12.292</c:v>
                </c:pt>
                <c:pt idx="16">
                  <c:v>34.279000000000003</c:v>
                </c:pt>
                <c:pt idx="17">
                  <c:v>-17.018999999999998</c:v>
                </c:pt>
                <c:pt idx="18">
                  <c:v>60.4</c:v>
                </c:pt>
                <c:pt idx="19">
                  <c:v>12.84</c:v>
                </c:pt>
                <c:pt idx="20">
                  <c:v>31.42</c:v>
                </c:pt>
                <c:pt idx="21">
                  <c:v>53.79</c:v>
                </c:pt>
                <c:pt idx="22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'Sporting SAD'!$C$28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'Sporting SAD'!$G$28:$AB$28</c:f>
              <c:numCache>
                <c:formatCode>0.0</c:formatCode>
                <c:ptCount val="22"/>
                <c:pt idx="0">
                  <c:v>-2.3849581884139992</c:v>
                </c:pt>
                <c:pt idx="1">
                  <c:v>-2.6654666297424532</c:v>
                </c:pt>
                <c:pt idx="2">
                  <c:v>-2.1359223300970869</c:v>
                </c:pt>
                <c:pt idx="3">
                  <c:v>-2.1429572529782761</c:v>
                </c:pt>
                <c:pt idx="4">
                  <c:v>13.599397590361447</c:v>
                </c:pt>
                <c:pt idx="5">
                  <c:v>11.776966050709067</c:v>
                </c:pt>
                <c:pt idx="6">
                  <c:v>4.5434729958827802</c:v>
                </c:pt>
                <c:pt idx="7">
                  <c:v>1.5233892981340911</c:v>
                </c:pt>
                <c:pt idx="8">
                  <c:v>2.9706677761597668</c:v>
                </c:pt>
                <c:pt idx="9">
                  <c:v>12.541666666666666</c:v>
                </c:pt>
                <c:pt idx="10">
                  <c:v>6.8543046357615864</c:v>
                </c:pt>
                <c:pt idx="11">
                  <c:v>40.000000000000142</c:v>
                </c:pt>
                <c:pt idx="12">
                  <c:v>-0.25328787140769604</c:v>
                </c:pt>
                <c:pt idx="13">
                  <c:v>-1.8287037037037039</c:v>
                </c:pt>
                <c:pt idx="14">
                  <c:v>1.5229417507321834</c:v>
                </c:pt>
                <c:pt idx="15">
                  <c:v>2.1500043758569385</c:v>
                </c:pt>
                <c:pt idx="16">
                  <c:v>-2.4408014571949002</c:v>
                </c:pt>
                <c:pt idx="17">
                  <c:v>0.74321192052980134</c:v>
                </c:pt>
                <c:pt idx="18">
                  <c:v>3.8091900311526476</c:v>
                </c:pt>
                <c:pt idx="19">
                  <c:v>1.6312858052196053</c:v>
                </c:pt>
                <c:pt idx="20">
                  <c:v>1.0774307492098902</c:v>
                </c:pt>
                <c:pt idx="21">
                  <c:v>47.704000000000001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'Sporting SAD'!$C$32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AE-410F-B8DB-CD859EA7E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SAD'!$F$32:$AB$32</c:f>
              <c:numCache>
                <c:formatCode>0.0%</c:formatCode>
                <c:ptCount val="23"/>
                <c:pt idx="0">
                  <c:v>-0.42277981540069626</c:v>
                </c:pt>
                <c:pt idx="1">
                  <c:v>-0.81800041239999544</c:v>
                </c:pt>
                <c:pt idx="2">
                  <c:v>-0.45547426841574173</c:v>
                </c:pt>
                <c:pt idx="3">
                  <c:v>-0.68580341760953589</c:v>
                </c:pt>
                <c:pt idx="4">
                  <c:v>-0.81047310728687449</c:v>
                </c:pt>
                <c:pt idx="5">
                  <c:v>0.16832854487071153</c:v>
                </c:pt>
                <c:pt idx="6">
                  <c:v>0.15609592487003185</c:v>
                </c:pt>
                <c:pt idx="7">
                  <c:v>0.44541531823085223</c:v>
                </c:pt>
                <c:pt idx="8">
                  <c:v>0.66684121284659892</c:v>
                </c:pt>
                <c:pt idx="9">
                  <c:v>0.21147797012824182</c:v>
                </c:pt>
                <c:pt idx="10">
                  <c:v>4.6132160095681517E-2</c:v>
                </c:pt>
                <c:pt idx="11">
                  <c:v>6.1821903787103401E-2</c:v>
                </c:pt>
                <c:pt idx="12">
                  <c:v>1.2130294633263544E-2</c:v>
                </c:pt>
                <c:pt idx="13">
                  <c:v>-0.60434196001471852</c:v>
                </c:pt>
                <c:pt idx="14">
                  <c:v>-0.52648354738914405</c:v>
                </c:pt>
                <c:pt idx="15">
                  <c:v>0.34778180172023537</c:v>
                </c:pt>
                <c:pt idx="16">
                  <c:v>0.58715014901853324</c:v>
                </c:pt>
                <c:pt idx="17">
                  <c:v>-0.24754909090909089</c:v>
                </c:pt>
                <c:pt idx="18">
                  <c:v>0.75499056261796726</c:v>
                </c:pt>
                <c:pt idx="19">
                  <c:v>0.13996075866579463</c:v>
                </c:pt>
                <c:pt idx="20">
                  <c:v>0.41429324894514769</c:v>
                </c:pt>
                <c:pt idx="21">
                  <c:v>0.78491171749598709</c:v>
                </c:pt>
                <c:pt idx="22">
                  <c:v>1.9394879751745538E-2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'Sporting SAD'!$C$33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AE-410F-B8DB-CD859EA7E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SAD'!$F$33:$AB$33</c:f>
              <c:numCache>
                <c:formatCode>0.0%</c:formatCode>
                <c:ptCount val="23"/>
                <c:pt idx="0">
                  <c:v>-1.4614952730259168</c:v>
                </c:pt>
                <c:pt idx="1">
                  <c:v>-1.7623019326620484</c:v>
                </c:pt>
                <c:pt idx="2">
                  <c:v>-1.6002144298688195</c:v>
                </c:pt>
                <c:pt idx="3">
                  <c:v>-1.5191600316617777</c:v>
                </c:pt>
                <c:pt idx="4">
                  <c:v>-1.7723632646106662</c:v>
                </c:pt>
                <c:pt idx="5">
                  <c:v>-0.32351698495859388</c:v>
                </c:pt>
                <c:pt idx="6">
                  <c:v>-0.28177092067751131</c:v>
                </c:pt>
                <c:pt idx="7">
                  <c:v>0.12135922330097088</c:v>
                </c:pt>
                <c:pt idx="8">
                  <c:v>0.42639138240574509</c:v>
                </c:pt>
                <c:pt idx="9">
                  <c:v>5.6377994324805884E-2</c:v>
                </c:pt>
                <c:pt idx="10">
                  <c:v>-0.20056810900858571</c:v>
                </c:pt>
                <c:pt idx="11">
                  <c:v>-0.37783301652288348</c:v>
                </c:pt>
                <c:pt idx="12">
                  <c:v>-0.64635525646100778</c:v>
                </c:pt>
                <c:pt idx="13">
                  <c:v>-1.1242732736416043</c:v>
                </c:pt>
                <c:pt idx="14">
                  <c:v>-1.13155838880035</c:v>
                </c:pt>
                <c:pt idx="15">
                  <c:v>0.12061453146220008</c:v>
                </c:pt>
                <c:pt idx="16">
                  <c:v>0.40188756808605397</c:v>
                </c:pt>
                <c:pt idx="17">
                  <c:v>-0.3832872727272727</c:v>
                </c:pt>
                <c:pt idx="18">
                  <c:v>0.53279334008324897</c:v>
                </c:pt>
                <c:pt idx="19">
                  <c:v>-0.16557662960540659</c:v>
                </c:pt>
                <c:pt idx="20">
                  <c:v>5.3533755274261595E-2</c:v>
                </c:pt>
                <c:pt idx="21">
                  <c:v>0.39719830731066685</c:v>
                </c:pt>
                <c:pt idx="22">
                  <c:v>-0.38013964313421256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'Sporting SAD'!$C$35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AE-410F-B8DB-CD859EA7E0FB}"/>
                </c:ext>
              </c:extLst>
            </c:dLbl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AE-410F-B8DB-CD859EA7E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SAD'!$F$35:$AB$35</c:f>
              <c:numCache>
                <c:formatCode>0.0%</c:formatCode>
                <c:ptCount val="23"/>
                <c:pt idx="0">
                  <c:v>-0.19053933234407519</c:v>
                </c:pt>
                <c:pt idx="1">
                  <c:v>-0.71947886952185147</c:v>
                </c:pt>
                <c:pt idx="2">
                  <c:v>-1.3524848637739657</c:v>
                </c:pt>
                <c:pt idx="3">
                  <c:v>-1.0576430600176934</c:v>
                </c:pt>
                <c:pt idx="4">
                  <c:v>-1.5522803430453798</c:v>
                </c:pt>
                <c:pt idx="5">
                  <c:v>-0.38993577826601317</c:v>
                </c:pt>
                <c:pt idx="6">
                  <c:v>1.8336407848398457</c:v>
                </c:pt>
                <c:pt idx="7">
                  <c:v>1.1254944264653004E-2</c:v>
                </c:pt>
                <c:pt idx="8">
                  <c:v>0.37998703371234793</c:v>
                </c:pt>
                <c:pt idx="9">
                  <c:v>1.3132135236796376E-2</c:v>
                </c:pt>
                <c:pt idx="10">
                  <c:v>-0.28510102088761691</c:v>
                </c:pt>
                <c:pt idx="11">
                  <c:v>-0.72677292001754645</c:v>
                </c:pt>
                <c:pt idx="12">
                  <c:v>-1.2438783011932364</c:v>
                </c:pt>
                <c:pt idx="13">
                  <c:v>-1.1271188519563351</c:v>
                </c:pt>
                <c:pt idx="14">
                  <c:v>-1.3692072122746166</c:v>
                </c:pt>
                <c:pt idx="15">
                  <c:v>1.0411951109099139E-2</c:v>
                </c:pt>
                <c:pt idx="16">
                  <c:v>0.3311465862765921</c:v>
                </c:pt>
                <c:pt idx="17">
                  <c:v>-0.4640727272727273</c:v>
                </c:pt>
                <c:pt idx="18">
                  <c:v>0.38170772865339181</c:v>
                </c:pt>
                <c:pt idx="19">
                  <c:v>-0.21691737519075649</c:v>
                </c:pt>
                <c:pt idx="20">
                  <c:v>-0.10390295358649788</c:v>
                </c:pt>
                <c:pt idx="21">
                  <c:v>0.18269371078359842</c:v>
                </c:pt>
                <c:pt idx="22">
                  <c:v>-0.51140418929402631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Cofina!$C$6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Cofina!$D$6:$AA$6</c:f>
              <c:numCache>
                <c:formatCode>#,##0</c:formatCode>
                <c:ptCount val="24"/>
                <c:pt idx="0">
                  <c:v>94.986384999999999</c:v>
                </c:pt>
                <c:pt idx="1">
                  <c:v>110.53712</c:v>
                </c:pt>
                <c:pt idx="2">
                  <c:v>162.40006099999999</c:v>
                </c:pt>
                <c:pt idx="3">
                  <c:v>211.35437899999999</c:v>
                </c:pt>
                <c:pt idx="4">
                  <c:v>216.583</c:v>
                </c:pt>
                <c:pt idx="5">
                  <c:v>218.27600000000001</c:v>
                </c:pt>
                <c:pt idx="6">
                  <c:v>275.38039099999997</c:v>
                </c:pt>
                <c:pt idx="7">
                  <c:v>129.77681000000001</c:v>
                </c:pt>
                <c:pt idx="8">
                  <c:v>131.30000000000001</c:v>
                </c:pt>
                <c:pt idx="9">
                  <c:v>134.63522599999999</c:v>
                </c:pt>
                <c:pt idx="10">
                  <c:v>144.03299999999999</c:v>
                </c:pt>
                <c:pt idx="11">
                  <c:v>134.05283</c:v>
                </c:pt>
                <c:pt idx="12">
                  <c:v>136.31398999999999</c:v>
                </c:pt>
                <c:pt idx="13">
                  <c:v>126.6772</c:v>
                </c:pt>
                <c:pt idx="14">
                  <c:v>113.32729999999999</c:v>
                </c:pt>
                <c:pt idx="15">
                  <c:v>107.65907</c:v>
                </c:pt>
                <c:pt idx="16">
                  <c:v>106.07747000000001</c:v>
                </c:pt>
                <c:pt idx="17">
                  <c:v>100.67565999999999</c:v>
                </c:pt>
                <c:pt idx="18">
                  <c:v>99.925563999999994</c:v>
                </c:pt>
                <c:pt idx="19">
                  <c:v>91.057924</c:v>
                </c:pt>
                <c:pt idx="20">
                  <c:v>91.04</c:v>
                </c:pt>
                <c:pt idx="21">
                  <c:v>90.28</c:v>
                </c:pt>
                <c:pt idx="22">
                  <c:v>71.44</c:v>
                </c:pt>
                <c:pt idx="2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Cofina!$C$27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Cofina!$D$27:$AA$27</c:f>
              <c:numCache>
                <c:formatCode>0.0</c:formatCode>
                <c:ptCount val="24"/>
                <c:pt idx="0">
                  <c:v>0.56083433852125242</c:v>
                </c:pt>
                <c:pt idx="1">
                  <c:v>0.75760247978235729</c:v>
                </c:pt>
                <c:pt idx="2">
                  <c:v>0.85661904597437322</c:v>
                </c:pt>
                <c:pt idx="3">
                  <c:v>0.51572151244616515</c:v>
                </c:pt>
                <c:pt idx="4">
                  <c:v>0.53790001985382052</c:v>
                </c:pt>
                <c:pt idx="5">
                  <c:v>0.57942696402719496</c:v>
                </c:pt>
                <c:pt idx="6">
                  <c:v>0.66090399297893365</c:v>
                </c:pt>
                <c:pt idx="7">
                  <c:v>1.1933905014308797</c:v>
                </c:pt>
                <c:pt idx="8">
                  <c:v>1.4217046574257426</c:v>
                </c:pt>
                <c:pt idx="9">
                  <c:v>1.1655621915768166</c:v>
                </c:pt>
                <c:pt idx="10">
                  <c:v>0.32044480223282168</c:v>
                </c:pt>
                <c:pt idx="11">
                  <c:v>0.81102193933540989</c:v>
                </c:pt>
                <c:pt idx="12">
                  <c:v>0.51917214689409363</c:v>
                </c:pt>
                <c:pt idx="13">
                  <c:v>0.6153438453012855</c:v>
                </c:pt>
                <c:pt idx="14">
                  <c:v>0.53397410191542549</c:v>
                </c:pt>
                <c:pt idx="15">
                  <c:v>0.4763455415321719</c:v>
                </c:pt>
                <c:pt idx="16">
                  <c:v>0.4563747098417788</c:v>
                </c:pt>
                <c:pt idx="17">
                  <c:v>0.45335483293578616</c:v>
                </c:pt>
                <c:pt idx="18">
                  <c:v>0.26686982081982547</c:v>
                </c:pt>
                <c:pt idx="19">
                  <c:v>0.50574467702558212</c:v>
                </c:pt>
                <c:pt idx="20">
                  <c:v>0.6241374466608085</c:v>
                </c:pt>
                <c:pt idx="21">
                  <c:v>0.46573489749113867</c:v>
                </c:pt>
                <c:pt idx="22">
                  <c:v>0.34456607838745801</c:v>
                </c:pt>
                <c:pt idx="23">
                  <c:v>0.32432980572972975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'Sporting SAD'!$C$12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SAD'!$F$12:$AB$12</c:f>
              <c:numCache>
                <c:formatCode>#,##0</c:formatCode>
                <c:ptCount val="23"/>
                <c:pt idx="0">
                  <c:v>-2.55206</c:v>
                </c:pt>
                <c:pt idx="1">
                  <c:v>-11.462115000000001</c:v>
                </c:pt>
                <c:pt idx="2">
                  <c:v>-21.445</c:v>
                </c:pt>
                <c:pt idx="3">
                  <c:v>-22.715</c:v>
                </c:pt>
                <c:pt idx="4">
                  <c:v>-27.331</c:v>
                </c:pt>
                <c:pt idx="5">
                  <c:v>-9.2289999999999992</c:v>
                </c:pt>
                <c:pt idx="6">
                  <c:v>54.67</c:v>
                </c:pt>
                <c:pt idx="7" formatCode="#,##0.00">
                  <c:v>0.313</c:v>
                </c:pt>
                <c:pt idx="8">
                  <c:v>15.239000000000001</c:v>
                </c:pt>
                <c:pt idx="9">
                  <c:v>0.59699999999999998</c:v>
                </c:pt>
                <c:pt idx="10">
                  <c:v>-13.349</c:v>
                </c:pt>
                <c:pt idx="11">
                  <c:v>-24.852</c:v>
                </c:pt>
                <c:pt idx="12">
                  <c:v>-43.991</c:v>
                </c:pt>
                <c:pt idx="13">
                  <c:v>-45.947000000000003</c:v>
                </c:pt>
                <c:pt idx="14">
                  <c:v>-43.816000000000003</c:v>
                </c:pt>
                <c:pt idx="15" formatCode="#,##0.00">
                  <c:v>0.36799999999999999</c:v>
                </c:pt>
                <c:pt idx="16">
                  <c:v>19.332999999999998</c:v>
                </c:pt>
                <c:pt idx="17">
                  <c:v>-31.905000000000001</c:v>
                </c:pt>
                <c:pt idx="18">
                  <c:v>30.536999999999999</c:v>
                </c:pt>
                <c:pt idx="19">
                  <c:v>-19.899999999999999</c:v>
                </c:pt>
                <c:pt idx="20">
                  <c:v>-7.88</c:v>
                </c:pt>
                <c:pt idx="21">
                  <c:v>12.52</c:v>
                </c:pt>
                <c:pt idx="22">
                  <c:v>-32.96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'Sporting SAD'!$C$36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val>
            <c:numRef>
              <c:f>'Sporting SAD'!$F$36:$AB$36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1.0025608194622277</c:v>
                </c:pt>
                <c:pt idx="7">
                  <c:v>179.80830670926517</c:v>
                </c:pt>
                <c:pt idx="8">
                  <c:v>2.6734037666513553</c:v>
                </c:pt>
                <c:pt idx="9">
                  <c:v>47.8391959798995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50.869565217391305</c:v>
                </c:pt>
                <c:pt idx="16">
                  <c:v>3.8121346919774481</c:v>
                </c:pt>
                <c:pt idx="17">
                  <c:v>0</c:v>
                </c:pt>
                <c:pt idx="18">
                  <c:v>1.4700199757671022</c:v>
                </c:pt>
                <c:pt idx="19">
                  <c:v>0</c:v>
                </c:pt>
                <c:pt idx="20">
                  <c:v>0</c:v>
                </c:pt>
                <c:pt idx="21">
                  <c:v>4.6289936102236418</c:v>
                </c:pt>
                <c:pt idx="2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'Sporting SAD'!$C$38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A-4680-848C-65109849638C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EA-4680-848C-651098496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SAD'!$F$38:$AB$38</c:f>
              <c:numCache>
                <c:formatCode>0%</c:formatCode>
                <c:ptCount val="23"/>
                <c:pt idx="0">
                  <c:v>-0.78348634098058045</c:v>
                </c:pt>
                <c:pt idx="1">
                  <c:v>-2.0762079427027964</c:v>
                </c:pt>
                <c:pt idx="2">
                  <c:v>-2.1149454030174213</c:v>
                </c:pt>
                <c:pt idx="3">
                  <c:v>3.0455521329226181</c:v>
                </c:pt>
                <c:pt idx="4">
                  <c:v>0.8662317834836919</c:v>
                </c:pt>
                <c:pt idx="5">
                  <c:v>0.1620666299792575</c:v>
                </c:pt>
                <c:pt idx="6">
                  <c:v>-0.247641787525056</c:v>
                </c:pt>
                <c:pt idx="7">
                  <c:v>9.858044164037856E-2</c:v>
                </c:pt>
                <c:pt idx="8">
                  <c:v>-5.3943217665615144</c:v>
                </c:pt>
                <c:pt idx="9">
                  <c:v>-0.98766859344894031</c:v>
                </c:pt>
                <c:pt idx="10">
                  <c:v>0.58763531693886495</c:v>
                </c:pt>
                <c:pt idx="11">
                  <c:v>0.30441543753828754</c:v>
                </c:pt>
                <c:pt idx="12">
                  <c:v>0.77106523645685765</c:v>
                </c:pt>
                <c:pt idx="13">
                  <c:v>0.60628629635019116</c:v>
                </c:pt>
                <c:pt idx="14">
                  <c:v>0.30325184868812233</c:v>
                </c:pt>
                <c:pt idx="15">
                  <c:v>-3.6117936117936116E-2</c:v>
                </c:pt>
                <c:pt idx="16">
                  <c:v>3.1693907875185738</c:v>
                </c:pt>
                <c:pt idx="17">
                  <c:v>1.0540399999999999</c:v>
                </c:pt>
                <c:pt idx="18">
                  <c:v>7.6114285714285721</c:v>
                </c:pt>
                <c:pt idx="19">
                  <c:v>1.1421052631578947</c:v>
                </c:pt>
                <c:pt idx="20">
                  <c:v>-0.17203389830508473</c:v>
                </c:pt>
                <c:pt idx="21">
                  <c:v>-2.7494949494949492</c:v>
                </c:pt>
                <c:pt idx="22">
                  <c:v>0.59178743961352664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'Sporting SAD'!$C$39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EA-4680-848C-65109849638C}"/>
                </c:ext>
              </c:extLst>
            </c:dLbl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A-4680-848C-651098496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SAD'!$F$39:$AB$39</c:f>
              <c:numCache>
                <c:formatCode>0%</c:formatCode>
                <c:ptCount val="23"/>
                <c:pt idx="0">
                  <c:v>-0.10214536240138421</c:v>
                </c:pt>
                <c:pt idx="1">
                  <c:v>-0.84763440124681322</c:v>
                </c:pt>
                <c:pt idx="2">
                  <c:v>-1.7875302158873052</c:v>
                </c:pt>
                <c:pt idx="3">
                  <c:v>2.1203211051992907</c:v>
                </c:pt>
                <c:pt idx="4">
                  <c:v>0.75866759195003475</c:v>
                </c:pt>
                <c:pt idx="5">
                  <c:v>0.19533928798205136</c:v>
                </c:pt>
                <c:pt idx="6">
                  <c:v>1.6115434500648509</c:v>
                </c:pt>
                <c:pt idx="7">
                  <c:v>9.1424231802780705E-3</c:v>
                </c:pt>
                <c:pt idx="8">
                  <c:v>-4.8072555205047323</c:v>
                </c:pt>
                <c:pt idx="9">
                  <c:v>-0.23005780346820806</c:v>
                </c:pt>
                <c:pt idx="10">
                  <c:v>0.83530442400350413</c:v>
                </c:pt>
                <c:pt idx="11">
                  <c:v>0.5855520475001178</c:v>
                </c:pt>
                <c:pt idx="12">
                  <c:v>1.4838764082844229</c:v>
                </c:pt>
                <c:pt idx="13">
                  <c:v>0.60782082997102904</c:v>
                </c:pt>
                <c:pt idx="14">
                  <c:v>0.36694051537153816</c:v>
                </c:pt>
                <c:pt idx="15">
                  <c:v>-3.1178513937134625E-3</c:v>
                </c:pt>
                <c:pt idx="16">
                  <c:v>2.6115088477644197</c:v>
                </c:pt>
                <c:pt idx="17">
                  <c:v>1.2762</c:v>
                </c:pt>
                <c:pt idx="18">
                  <c:v>5.4530357142857149</c:v>
                </c:pt>
                <c:pt idx="19">
                  <c:v>1.4962406015037593</c:v>
                </c:pt>
                <c:pt idx="20">
                  <c:v>0.33389830508474572</c:v>
                </c:pt>
                <c:pt idx="21">
                  <c:v>-1.2646464646464646</c:v>
                </c:pt>
                <c:pt idx="22">
                  <c:v>0.7961352657004831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'Sporting SAD'!$C$37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'Sporting SAD'!$F$3:$AB$3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'Sporting SAD'!$F$37:$AB$37</c:f>
              <c:numCache>
                <c:formatCode>0.0</c:formatCode>
                <c:ptCount val="23"/>
                <c:pt idx="0">
                  <c:v>1.1767253334955667</c:v>
                </c:pt>
                <c:pt idx="1">
                  <c:v>2.2983958188127547</c:v>
                </c:pt>
                <c:pt idx="2">
                  <c:v>1.6045678086188213</c:v>
                </c:pt>
                <c:pt idx="3">
                  <c:v>-2.9366190609539813</c:v>
                </c:pt>
                <c:pt idx="4">
                  <c:v>-0.84885496183206111</c:v>
                </c:pt>
                <c:pt idx="5">
                  <c:v>-1.1467637471955296</c:v>
                </c:pt>
                <c:pt idx="6">
                  <c:v>1.6156703218960027</c:v>
                </c:pt>
                <c:pt idx="7">
                  <c:v>1.6438836312653349</c:v>
                </c:pt>
                <c:pt idx="8">
                  <c:v>-12.851735015772871</c:v>
                </c:pt>
                <c:pt idx="9">
                  <c:v>-11.00578034682081</c:v>
                </c:pt>
                <c:pt idx="10">
                  <c:v>-1.6951379763469119</c:v>
                </c:pt>
                <c:pt idx="11">
                  <c:v>-0.34140709674379149</c:v>
                </c:pt>
                <c:pt idx="12">
                  <c:v>-0.57883019631653509</c:v>
                </c:pt>
                <c:pt idx="13">
                  <c:v>-8.2547325810590932E-2</c:v>
                </c:pt>
                <c:pt idx="14">
                  <c:v>-0.25802075220460768</c:v>
                </c:pt>
                <c:pt idx="15">
                  <c:v>-0.15860374481064135</c:v>
                </c:pt>
                <c:pt idx="16">
                  <c:v>9.9554234769687966</c:v>
                </c:pt>
                <c:pt idx="17">
                  <c:v>-1.6616</c:v>
                </c:pt>
                <c:pt idx="18">
                  <c:v>8.0160714285714292</c:v>
                </c:pt>
                <c:pt idx="19">
                  <c:v>-3.6774436090225557</c:v>
                </c:pt>
                <c:pt idx="20">
                  <c:v>-2.1718220338983052</c:v>
                </c:pt>
                <c:pt idx="21">
                  <c:v>-5.8540404040404033</c:v>
                </c:pt>
                <c:pt idx="22">
                  <c:v>-1.4403381642512079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'Sporting SAD'!$C$41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'Sporting SAD'!$F$41:$AB$41</c:f>
              <c:numCache>
                <c:formatCode>0.0</c:formatCode>
                <c:ptCount val="23"/>
                <c:pt idx="0">
                  <c:v>0.93301079649091867</c:v>
                </c:pt>
                <c:pt idx="1">
                  <c:v>0.7312612657664751</c:v>
                </c:pt>
                <c:pt idx="2">
                  <c:v>0.46542234399080212</c:v>
                </c:pt>
                <c:pt idx="3">
                  <c:v>0.50025666253154821</c:v>
                </c:pt>
                <c:pt idx="4">
                  <c:v>0.40524219452653221</c:v>
                </c:pt>
                <c:pt idx="5">
                  <c:v>0.32983010057074724</c:v>
                </c:pt>
                <c:pt idx="6">
                  <c:v>2.3395674257459045</c:v>
                </c:pt>
                <c:pt idx="7">
                  <c:v>3.4022255331036404</c:v>
                </c:pt>
                <c:pt idx="8">
                  <c:v>1.0056894115850166</c:v>
                </c:pt>
                <c:pt idx="9">
                  <c:v>0.29907642719890903</c:v>
                </c:pt>
                <c:pt idx="10">
                  <c:v>0.35343840803028975</c:v>
                </c:pt>
                <c:pt idx="11">
                  <c:v>0.14922319544786139</c:v>
                </c:pt>
                <c:pt idx="12">
                  <c:v>0.21033913938060944</c:v>
                </c:pt>
                <c:pt idx="13">
                  <c:v>0.18782463291006951</c:v>
                </c:pt>
                <c:pt idx="14">
                  <c:v>0.14170375521557718</c:v>
                </c:pt>
                <c:pt idx="15">
                  <c:v>0.13787889617708671</c:v>
                </c:pt>
                <c:pt idx="16">
                  <c:v>0.46222212905998133</c:v>
                </c:pt>
                <c:pt idx="17">
                  <c:v>0.25605302439986105</c:v>
                </c:pt>
                <c:pt idx="18">
                  <c:v>0.47873278468256636</c:v>
                </c:pt>
                <c:pt idx="19">
                  <c:v>0.16733987305251008</c:v>
                </c:pt>
                <c:pt idx="20">
                  <c:v>0.32505322924059615</c:v>
                </c:pt>
                <c:pt idx="21">
                  <c:v>0.4504442925495557</c:v>
                </c:pt>
                <c:pt idx="22">
                  <c:v>0.23697148475909538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'Sporting SAD'!$C$45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'Sporting SAD'!$F$45:$AB$45</c:f>
              <c:numCache>
                <c:formatCode>0.0</c:formatCode>
                <c:ptCount val="23"/>
                <c:pt idx="0">
                  <c:v>1.330015421505816</c:v>
                </c:pt>
                <c:pt idx="1">
                  <c:v>3.0180710261989763</c:v>
                </c:pt>
                <c:pt idx="2">
                  <c:v>4.695507210135867</c:v>
                </c:pt>
                <c:pt idx="3">
                  <c:v>-5.8066834686829081</c:v>
                </c:pt>
                <c:pt idx="4">
                  <c:v>-2.7864260929909785</c:v>
                </c:pt>
                <c:pt idx="5">
                  <c:v>-2.2597680226897516</c:v>
                </c:pt>
                <c:pt idx="6">
                  <c:v>1.447087607593444</c:v>
                </c:pt>
                <c:pt idx="7">
                  <c:v>1.1928963663979439</c:v>
                </c:pt>
                <c:pt idx="8">
                  <c:v>-40.419873817034699</c:v>
                </c:pt>
                <c:pt idx="9">
                  <c:v>-56.268208092485544</c:v>
                </c:pt>
                <c:pt idx="10">
                  <c:v>-8.9132720105124843</c:v>
                </c:pt>
                <c:pt idx="11">
                  <c:v>-4.0749729041986704</c:v>
                </c:pt>
                <c:pt idx="12">
                  <c:v>-5.6040612561559735</c:v>
                </c:pt>
                <c:pt idx="13">
                  <c:v>-2.9103356130858677</c:v>
                </c:pt>
                <c:pt idx="14">
                  <c:v>-2.1679521644097175</c:v>
                </c:pt>
                <c:pt idx="15">
                  <c:v>-2.2433449123104294</c:v>
                </c:pt>
                <c:pt idx="16">
                  <c:v>30.865730109415104</c:v>
                </c:pt>
                <c:pt idx="17">
                  <c:v>-9.9717199999999995</c:v>
                </c:pt>
                <c:pt idx="18">
                  <c:v>55.514107142857149</c:v>
                </c:pt>
                <c:pt idx="19">
                  <c:v>-21.248120300751879</c:v>
                </c:pt>
                <c:pt idx="20">
                  <c:v>-13.762711864406779</c:v>
                </c:pt>
                <c:pt idx="21">
                  <c:v>-30.161616161616163</c:v>
                </c:pt>
                <c:pt idx="22">
                  <c:v>-7.5024154589371985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'Teixeira Duarte'!$C$26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'Teixeira Duarte'!$Q$26:$AN$26</c:f>
              <c:numCache>
                <c:formatCode>#,##0</c:formatCode>
                <c:ptCount val="24"/>
                <c:pt idx="0">
                  <c:v>402.65476190476187</c:v>
                </c:pt>
                <c:pt idx="1">
                  <c:v>379.59523809523807</c:v>
                </c:pt>
                <c:pt idx="2">
                  <c:v>435.47023809523813</c:v>
                </c:pt>
                <c:pt idx="3">
                  <c:v>504</c:v>
                </c:pt>
                <c:pt idx="4">
                  <c:v>273</c:v>
                </c:pt>
                <c:pt idx="5">
                  <c:v>315</c:v>
                </c:pt>
                <c:pt idx="6">
                  <c:v>424</c:v>
                </c:pt>
                <c:pt idx="7">
                  <c:v>559</c:v>
                </c:pt>
                <c:pt idx="8">
                  <c:v>836</c:v>
                </c:pt>
                <c:pt idx="9">
                  <c:v>1777</c:v>
                </c:pt>
                <c:pt idx="10">
                  <c:v>252</c:v>
                </c:pt>
                <c:pt idx="11">
                  <c:v>403.2</c:v>
                </c:pt>
                <c:pt idx="12">
                  <c:v>306.59999999999997</c:v>
                </c:pt>
                <c:pt idx="13">
                  <c:v>88.2</c:v>
                </c:pt>
                <c:pt idx="14">
                  <c:v>134.4</c:v>
                </c:pt>
                <c:pt idx="15">
                  <c:v>373.8</c:v>
                </c:pt>
                <c:pt idx="16">
                  <c:v>298.62</c:v>
                </c:pt>
                <c:pt idx="17">
                  <c:v>131.88</c:v>
                </c:pt>
                <c:pt idx="18">
                  <c:v>78.12</c:v>
                </c:pt>
                <c:pt idx="19">
                  <c:v>93.66</c:v>
                </c:pt>
                <c:pt idx="20">
                  <c:v>56.7</c:v>
                </c:pt>
                <c:pt idx="21">
                  <c:v>64.679999999999993</c:v>
                </c:pt>
                <c:pt idx="22">
                  <c:v>37.967999999999996</c:v>
                </c:pt>
                <c:pt idx="23">
                  <c:v>39.564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'Teixeira Duarte'!$C$5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Duarte'!$Q$5:$AN$5</c:f>
              <c:numCache>
                <c:formatCode>#,##0</c:formatCode>
                <c:ptCount val="24"/>
                <c:pt idx="0">
                  <c:v>372.5</c:v>
                </c:pt>
                <c:pt idx="1">
                  <c:v>372.5</c:v>
                </c:pt>
                <c:pt idx="2">
                  <c:v>372.5</c:v>
                </c:pt>
                <c:pt idx="3">
                  <c:v>420</c:v>
                </c:pt>
                <c:pt idx="4">
                  <c:v>420</c:v>
                </c:pt>
                <c:pt idx="5">
                  <c:v>420</c:v>
                </c:pt>
                <c:pt idx="6">
                  <c:v>420</c:v>
                </c:pt>
                <c:pt idx="7">
                  <c:v>420</c:v>
                </c:pt>
                <c:pt idx="8">
                  <c:v>420</c:v>
                </c:pt>
                <c:pt idx="9">
                  <c:v>420</c:v>
                </c:pt>
                <c:pt idx="10">
                  <c:v>420</c:v>
                </c:pt>
                <c:pt idx="11">
                  <c:v>420</c:v>
                </c:pt>
                <c:pt idx="12">
                  <c:v>420</c:v>
                </c:pt>
                <c:pt idx="13">
                  <c:v>420</c:v>
                </c:pt>
                <c:pt idx="14">
                  <c:v>420</c:v>
                </c:pt>
                <c:pt idx="15">
                  <c:v>420</c:v>
                </c:pt>
                <c:pt idx="16">
                  <c:v>420</c:v>
                </c:pt>
                <c:pt idx="17">
                  <c:v>420</c:v>
                </c:pt>
                <c:pt idx="18">
                  <c:v>420</c:v>
                </c:pt>
                <c:pt idx="19">
                  <c:v>420</c:v>
                </c:pt>
                <c:pt idx="20">
                  <c:v>420</c:v>
                </c:pt>
                <c:pt idx="21">
                  <c:v>420</c:v>
                </c:pt>
                <c:pt idx="22">
                  <c:v>420</c:v>
                </c:pt>
                <c:pt idx="23">
                  <c:v>420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'Teixeira Duarte'!$C$6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Duarte'!$Q$6:$AN$6</c:f>
              <c:numCache>
                <c:formatCode>#,##0</c:formatCode>
                <c:ptCount val="24"/>
                <c:pt idx="0">
                  <c:v>662.66</c:v>
                </c:pt>
                <c:pt idx="1">
                  <c:v>651.03</c:v>
                </c:pt>
                <c:pt idx="2">
                  <c:v>664.39800000000002</c:v>
                </c:pt>
                <c:pt idx="3">
                  <c:v>688.07100000000003</c:v>
                </c:pt>
                <c:pt idx="4">
                  <c:v>721.77800000000002</c:v>
                </c:pt>
                <c:pt idx="5">
                  <c:v>734.54200000000003</c:v>
                </c:pt>
                <c:pt idx="6">
                  <c:v>671.47699999999998</c:v>
                </c:pt>
                <c:pt idx="7">
                  <c:v>696.53700000000003</c:v>
                </c:pt>
                <c:pt idx="8">
                  <c:v>832.85799999999995</c:v>
                </c:pt>
                <c:pt idx="9">
                  <c:v>1066.7270000000001</c:v>
                </c:pt>
                <c:pt idx="10">
                  <c:v>1377.181</c:v>
                </c:pt>
                <c:pt idx="11">
                  <c:v>1385.404</c:v>
                </c:pt>
                <c:pt idx="12">
                  <c:v>1445.4179999999999</c:v>
                </c:pt>
                <c:pt idx="13">
                  <c:v>1262.9570000000001</c:v>
                </c:pt>
                <c:pt idx="14">
                  <c:v>1440.1010000000001</c:v>
                </c:pt>
                <c:pt idx="15">
                  <c:v>1629.9269999999999</c:v>
                </c:pt>
                <c:pt idx="16">
                  <c:v>1709.2</c:v>
                </c:pt>
                <c:pt idx="17">
                  <c:v>1479.5</c:v>
                </c:pt>
                <c:pt idx="18">
                  <c:v>1220.5</c:v>
                </c:pt>
                <c:pt idx="19">
                  <c:v>1094.3</c:v>
                </c:pt>
                <c:pt idx="20">
                  <c:v>966.7</c:v>
                </c:pt>
                <c:pt idx="21">
                  <c:v>1016.8</c:v>
                </c:pt>
                <c:pt idx="22">
                  <c:v>715.4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'Teixeira Duarte'!$C$27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elete val="1"/>
          </c:dLbls>
          <c:val>
            <c:numRef>
              <c:f>'Teixeira Duarte'!$Q$27:$AN$27</c:f>
              <c:numCache>
                <c:formatCode>0.0</c:formatCode>
                <c:ptCount val="24"/>
                <c:pt idx="0">
                  <c:v>0.60763402333740058</c:v>
                </c:pt>
                <c:pt idx="1">
                  <c:v>0.58306873430600448</c:v>
                </c:pt>
                <c:pt idx="2">
                  <c:v>0.65543580518791167</c:v>
                </c:pt>
                <c:pt idx="3">
                  <c:v>0.73248254903927068</c:v>
                </c:pt>
                <c:pt idx="4">
                  <c:v>0.378232642169753</c:v>
                </c:pt>
                <c:pt idx="5">
                  <c:v>0.42883865047880176</c:v>
                </c:pt>
                <c:pt idx="6">
                  <c:v>0.6314438171374448</c:v>
                </c:pt>
                <c:pt idx="7">
                  <c:v>0.80254171709471278</c:v>
                </c:pt>
                <c:pt idx="8">
                  <c:v>1.0037725518635832</c:v>
                </c:pt>
                <c:pt idx="9">
                  <c:v>1.6658432757397159</c:v>
                </c:pt>
                <c:pt idx="10">
                  <c:v>0.1829824837839035</c:v>
                </c:pt>
                <c:pt idx="11">
                  <c:v>0.2910342398318469</c:v>
                </c:pt>
                <c:pt idx="12">
                  <c:v>0.21211857054499114</c:v>
                </c:pt>
                <c:pt idx="13">
                  <c:v>6.9836106850827057E-2</c:v>
                </c:pt>
                <c:pt idx="14">
                  <c:v>9.3326787496154778E-2</c:v>
                </c:pt>
                <c:pt idx="15">
                  <c:v>0.2293354242245205</c:v>
                </c:pt>
                <c:pt idx="16">
                  <c:v>0.17471331617130822</c:v>
                </c:pt>
                <c:pt idx="17">
                  <c:v>8.9138222372423109E-2</c:v>
                </c:pt>
                <c:pt idx="18">
                  <c:v>5.280162216965191E-2</c:v>
                </c:pt>
                <c:pt idx="19">
                  <c:v>7.6739041376485045E-2</c:v>
                </c:pt>
                <c:pt idx="20">
                  <c:v>5.1813944987663355E-2</c:v>
                </c:pt>
                <c:pt idx="21">
                  <c:v>6.6908037653874E-2</c:v>
                </c:pt>
                <c:pt idx="22">
                  <c:v>3.7340676632572775E-2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'Teixeira Duarte'!$C$7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Duarte'!$Q$7:$AN$7</c:f>
              <c:numCache>
                <c:formatCode>#,##0</c:formatCode>
                <c:ptCount val="24"/>
                <c:pt idx="0">
                  <c:v>54.2</c:v>
                </c:pt>
                <c:pt idx="1">
                  <c:v>38.08</c:v>
                </c:pt>
                <c:pt idx="2">
                  <c:v>46.631</c:v>
                </c:pt>
                <c:pt idx="3">
                  <c:v>73.417000000000002</c:v>
                </c:pt>
                <c:pt idx="4">
                  <c:v>78.257000000000005</c:v>
                </c:pt>
                <c:pt idx="5">
                  <c:v>105.877</c:v>
                </c:pt>
                <c:pt idx="6">
                  <c:v>74.7</c:v>
                </c:pt>
                <c:pt idx="7">
                  <c:v>91.662999999999997</c:v>
                </c:pt>
                <c:pt idx="8">
                  <c:v>118.36</c:v>
                </c:pt>
                <c:pt idx="9">
                  <c:v>112.994</c:v>
                </c:pt>
                <c:pt idx="10">
                  <c:v>186.024</c:v>
                </c:pt>
                <c:pt idx="11">
                  <c:v>209.14500000000001</c:v>
                </c:pt>
                <c:pt idx="12">
                  <c:v>142.90299999999999</c:v>
                </c:pt>
                <c:pt idx="13">
                  <c:v>113.04900000000001</c:v>
                </c:pt>
                <c:pt idx="14">
                  <c:v>203.99</c:v>
                </c:pt>
                <c:pt idx="15">
                  <c:v>176.90100000000001</c:v>
                </c:pt>
                <c:pt idx="16">
                  <c:v>272.77199999999999</c:v>
                </c:pt>
                <c:pt idx="17">
                  <c:v>201.16200000000001</c:v>
                </c:pt>
                <c:pt idx="18">
                  <c:v>260.28199999999998</c:v>
                </c:pt>
                <c:pt idx="19">
                  <c:v>189.9</c:v>
                </c:pt>
                <c:pt idx="20">
                  <c:v>127.4</c:v>
                </c:pt>
                <c:pt idx="21">
                  <c:v>188.2</c:v>
                </c:pt>
                <c:pt idx="22">
                  <c:v>98.7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'Teixeira Duarte'!$C$28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'Teixeira Duarte'!$Q$28:$AN$28</c:f>
              <c:numCache>
                <c:formatCode>0.0</c:formatCode>
                <c:ptCount val="24"/>
                <c:pt idx="0">
                  <c:v>7.4290546476893331</c:v>
                </c:pt>
                <c:pt idx="1">
                  <c:v>9.9683623449379759</c:v>
                </c:pt>
                <c:pt idx="2">
                  <c:v>9.3386424930891074</c:v>
                </c:pt>
                <c:pt idx="3">
                  <c:v>6.8648950515548171</c:v>
                </c:pt>
                <c:pt idx="4">
                  <c:v>3.4885058205655723</c:v>
                </c:pt>
                <c:pt idx="5">
                  <c:v>2.9751504103818585</c:v>
                </c:pt>
                <c:pt idx="6">
                  <c:v>5.6760374832663985</c:v>
                </c:pt>
                <c:pt idx="7">
                  <c:v>6.0984257552120269</c:v>
                </c:pt>
                <c:pt idx="8">
                  <c:v>7.0631970260223049</c:v>
                </c:pt>
                <c:pt idx="9">
                  <c:v>15.726498752146131</c:v>
                </c:pt>
                <c:pt idx="10">
                  <c:v>1.3546639143336343</c:v>
                </c:pt>
                <c:pt idx="11">
                  <c:v>1.927849099906763</c:v>
                </c:pt>
                <c:pt idx="12">
                  <c:v>2.1455112908756289</c:v>
                </c:pt>
                <c:pt idx="13">
                  <c:v>0.78019265982007802</c:v>
                </c:pt>
                <c:pt idx="14">
                  <c:v>0.65885582626599348</c:v>
                </c:pt>
                <c:pt idx="15">
                  <c:v>2.1130462801227803</c:v>
                </c:pt>
                <c:pt idx="16">
                  <c:v>1.0947604592846774</c:v>
                </c:pt>
                <c:pt idx="17">
                  <c:v>0.65559101619590177</c:v>
                </c:pt>
                <c:pt idx="18">
                  <c:v>0.30013600633159421</c:v>
                </c:pt>
                <c:pt idx="19">
                  <c:v>0.49320695102685619</c:v>
                </c:pt>
                <c:pt idx="20">
                  <c:v>0.44505494505494508</c:v>
                </c:pt>
                <c:pt idx="21">
                  <c:v>0.34367693942614236</c:v>
                </c:pt>
                <c:pt idx="22">
                  <c:v>0.38468085106382977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'Teixeira Duarte'!$C$32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B1-455F-8247-0E3091473FB9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1-455F-8247-0E3091473F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Duarte'!$Q$32:$AN$32</c:f>
              <c:numCache>
                <c:formatCode>0.0%</c:formatCode>
                <c:ptCount val="24"/>
                <c:pt idx="0">
                  <c:v>8.1791567319590752E-2</c:v>
                </c:pt>
                <c:pt idx="1">
                  <c:v>5.8491928175352904E-2</c:v>
                </c:pt>
                <c:pt idx="2">
                  <c:v>7.0185340714451275E-2</c:v>
                </c:pt>
                <c:pt idx="3">
                  <c:v>0.10669974464844471</c:v>
                </c:pt>
                <c:pt idx="4">
                  <c:v>0.10842253435266799</c:v>
                </c:pt>
                <c:pt idx="5">
                  <c:v>0.14414015808490188</c:v>
                </c:pt>
                <c:pt idx="6">
                  <c:v>0.1112472951419036</c:v>
                </c:pt>
                <c:pt idx="7">
                  <c:v>0.13159817784267022</c:v>
                </c:pt>
                <c:pt idx="8">
                  <c:v>0.14211306129015991</c:v>
                </c:pt>
                <c:pt idx="9">
                  <c:v>0.10592588356721072</c:v>
                </c:pt>
                <c:pt idx="10">
                  <c:v>0.13507592683895581</c:v>
                </c:pt>
                <c:pt idx="11">
                  <c:v>0.15096318474611017</c:v>
                </c:pt>
                <c:pt idx="12">
                  <c:v>9.8866210328085027E-2</c:v>
                </c:pt>
                <c:pt idx="13">
                  <c:v>8.9511361036044776E-2</c:v>
                </c:pt>
                <c:pt idx="14">
                  <c:v>0.14164978706354622</c:v>
                </c:pt>
                <c:pt idx="15">
                  <c:v>0.10853308154291574</c:v>
                </c:pt>
                <c:pt idx="16">
                  <c:v>0.15959045167329744</c:v>
                </c:pt>
                <c:pt idx="17">
                  <c:v>0.13596620479891855</c:v>
                </c:pt>
                <c:pt idx="18">
                  <c:v>0.21325850061450224</c:v>
                </c:pt>
                <c:pt idx="19">
                  <c:v>0.15559197050389184</c:v>
                </c:pt>
                <c:pt idx="20">
                  <c:v>0.11642145663894728</c:v>
                </c:pt>
                <c:pt idx="21">
                  <c:v>0.19468294196751834</c:v>
                </c:pt>
                <c:pt idx="22">
                  <c:v>9.7069236821400479E-2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'Teixeira Duarte'!$C$33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1-455F-8247-0E3091473FB9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1-455F-8247-0E3091473F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Duarte'!$Q$33:$AN$33</c:f>
              <c:numCache>
                <c:formatCode>0.0%</c:formatCode>
                <c:ptCount val="24"/>
                <c:pt idx="0">
                  <c:v>4.8622219539431986E-2</c:v>
                </c:pt>
                <c:pt idx="1">
                  <c:v>2.5129410319032916E-2</c:v>
                </c:pt>
                <c:pt idx="2">
                  <c:v>3.9909813093958739E-2</c:v>
                </c:pt>
                <c:pt idx="3">
                  <c:v>7.0390991627317517E-2</c:v>
                </c:pt>
                <c:pt idx="4">
                  <c:v>7.3553086960256475E-2</c:v>
                </c:pt>
                <c:pt idx="5">
                  <c:v>0.10872353112551766</c:v>
                </c:pt>
                <c:pt idx="6">
                  <c:v>7.3131320953658874E-2</c:v>
                </c:pt>
                <c:pt idx="7">
                  <c:v>8.6469204076739636E-2</c:v>
                </c:pt>
                <c:pt idx="8">
                  <c:v>0.10490263646383897</c:v>
                </c:pt>
                <c:pt idx="9">
                  <c:v>6.5533168280169155E-2</c:v>
                </c:pt>
                <c:pt idx="10">
                  <c:v>9.5190102099869223E-2</c:v>
                </c:pt>
                <c:pt idx="11">
                  <c:v>0.11104414308028561</c:v>
                </c:pt>
                <c:pt idx="12">
                  <c:v>5.8030272211913793E-2</c:v>
                </c:pt>
                <c:pt idx="13">
                  <c:v>4.0658549736847731E-2</c:v>
                </c:pt>
                <c:pt idx="14">
                  <c:v>9.9467329027616805E-2</c:v>
                </c:pt>
                <c:pt idx="15">
                  <c:v>6.9969391267216269E-2</c:v>
                </c:pt>
                <c:pt idx="16">
                  <c:v>0.11539609173882519</c:v>
                </c:pt>
                <c:pt idx="17">
                  <c:v>8.4424467725582972E-2</c:v>
                </c:pt>
                <c:pt idx="18">
                  <c:v>0.15634903727980337</c:v>
                </c:pt>
                <c:pt idx="19">
                  <c:v>0.10958213846784105</c:v>
                </c:pt>
                <c:pt idx="20">
                  <c:v>7.6670017362697629E-2</c:v>
                </c:pt>
                <c:pt idx="21">
                  <c:v>0.13499534498810387</c:v>
                </c:pt>
                <c:pt idx="22">
                  <c:v>5.1534225019669554E-2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'Teixeira Duarte'!$C$35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1-455F-8247-0E3091473FB9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1-455F-8247-0E3091473F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Duarte'!$Q$35:$AN$35</c:f>
              <c:numCache>
                <c:formatCode>0.0%</c:formatCode>
                <c:ptCount val="24"/>
                <c:pt idx="0">
                  <c:v>2.9094860109256635E-2</c:v>
                </c:pt>
                <c:pt idx="1">
                  <c:v>3.0766631338033579E-2</c:v>
                </c:pt>
                <c:pt idx="2">
                  <c:v>4.2050096478315702E-2</c:v>
                </c:pt>
                <c:pt idx="3">
                  <c:v>2.9819597105531261E-2</c:v>
                </c:pt>
                <c:pt idx="4">
                  <c:v>2.9125298914624717E-2</c:v>
                </c:pt>
                <c:pt idx="5">
                  <c:v>1.4803782493036478E-2</c:v>
                </c:pt>
                <c:pt idx="6">
                  <c:v>9.1373196699216799E-2</c:v>
                </c:pt>
                <c:pt idx="7">
                  <c:v>0.15545907826863467</c:v>
                </c:pt>
                <c:pt idx="8">
                  <c:v>0.13717584510204622</c:v>
                </c:pt>
                <c:pt idx="9">
                  <c:v>0.11460476766782877</c:v>
                </c:pt>
                <c:pt idx="10">
                  <c:v>-0.25214114920261027</c:v>
                </c:pt>
                <c:pt idx="11">
                  <c:v>8.4184108029138074E-2</c:v>
                </c:pt>
                <c:pt idx="12">
                  <c:v>3.2095905821015104E-2</c:v>
                </c:pt>
                <c:pt idx="13">
                  <c:v>-0.15870453229999121</c:v>
                </c:pt>
                <c:pt idx="14">
                  <c:v>1.6667580954391394E-2</c:v>
                </c:pt>
                <c:pt idx="15">
                  <c:v>3.9249610565381149E-2</c:v>
                </c:pt>
                <c:pt idx="16">
                  <c:v>4.1119237069974258E-2</c:v>
                </c:pt>
                <c:pt idx="17">
                  <c:v>2.2746198039878335E-2</c:v>
                </c:pt>
                <c:pt idx="18">
                  <c:v>1.6507169192953707E-2</c:v>
                </c:pt>
                <c:pt idx="19">
                  <c:v>-3.809913969684556E-3</c:v>
                </c:pt>
                <c:pt idx="20">
                  <c:v>1.0143470711870602E-2</c:v>
                </c:pt>
                <c:pt idx="21">
                  <c:v>1.4896038067652839E-2</c:v>
                </c:pt>
                <c:pt idx="22">
                  <c:v>3.540519276160504E-3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'Teixeira Duarte'!$C$12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Duarte'!$Q$12:$AN$12</c:f>
              <c:numCache>
                <c:formatCode>#,##0</c:formatCode>
                <c:ptCount val="24"/>
                <c:pt idx="0">
                  <c:v>19.28</c:v>
                </c:pt>
                <c:pt idx="1">
                  <c:v>20.03</c:v>
                </c:pt>
                <c:pt idx="2">
                  <c:v>27.937999999999999</c:v>
                </c:pt>
                <c:pt idx="3">
                  <c:v>20.518000000000001</c:v>
                </c:pt>
                <c:pt idx="4">
                  <c:v>21.021999999999998</c:v>
                </c:pt>
                <c:pt idx="5">
                  <c:v>10.874000000000001</c:v>
                </c:pt>
                <c:pt idx="6">
                  <c:v>61.354999999999997</c:v>
                </c:pt>
                <c:pt idx="7">
                  <c:v>108.283</c:v>
                </c:pt>
                <c:pt idx="8">
                  <c:v>114.248</c:v>
                </c:pt>
                <c:pt idx="9">
                  <c:v>122.252</c:v>
                </c:pt>
                <c:pt idx="10">
                  <c:v>-347.24400000000003</c:v>
                </c:pt>
                <c:pt idx="11">
                  <c:v>116.629</c:v>
                </c:pt>
                <c:pt idx="12">
                  <c:v>46.392000000000003</c:v>
                </c:pt>
                <c:pt idx="13">
                  <c:v>-200.43700000000001</c:v>
                </c:pt>
                <c:pt idx="14">
                  <c:v>24.003</c:v>
                </c:pt>
                <c:pt idx="15">
                  <c:v>63.973999999999997</c:v>
                </c:pt>
                <c:pt idx="16">
                  <c:v>70.281000000000006</c:v>
                </c:pt>
                <c:pt idx="17">
                  <c:v>33.652999999999999</c:v>
                </c:pt>
                <c:pt idx="18">
                  <c:v>20.146999999999998</c:v>
                </c:pt>
                <c:pt idx="19">
                  <c:v>-4.6500000000000004</c:v>
                </c:pt>
                <c:pt idx="20">
                  <c:v>11.1</c:v>
                </c:pt>
                <c:pt idx="21">
                  <c:v>14.4</c:v>
                </c:pt>
                <c:pt idx="2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'Teixeira Duarte'!$C$36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val>
            <c:numRef>
              <c:f>'Teixeira Duarte'!$Q$36:$AN$36</c:f>
              <c:numCache>
                <c:formatCode>0.0</c:formatCode>
                <c:ptCount val="24"/>
                <c:pt idx="0">
                  <c:v>20.88458308634657</c:v>
                </c:pt>
                <c:pt idx="1">
                  <c:v>18.951334902408291</c:v>
                </c:pt>
                <c:pt idx="2">
                  <c:v>15.58702262492799</c:v>
                </c:pt>
                <c:pt idx="3">
                  <c:v>24.563797641095622</c:v>
                </c:pt>
                <c:pt idx="4">
                  <c:v>12.98639520502331</c:v>
                </c:pt>
                <c:pt idx="5">
                  <c:v>28.968180982159279</c:v>
                </c:pt>
                <c:pt idx="6">
                  <c:v>6.9106022329068537</c:v>
                </c:pt>
                <c:pt idx="7">
                  <c:v>5.1623985297784509</c:v>
                </c:pt>
                <c:pt idx="8">
                  <c:v>7.3174147468664659</c:v>
                </c:pt>
                <c:pt idx="9">
                  <c:v>14.53554952066224</c:v>
                </c:pt>
                <c:pt idx="10">
                  <c:v>0</c:v>
                </c:pt>
                <c:pt idx="11">
                  <c:v>3.4571161546442135</c:v>
                </c:pt>
                <c:pt idx="12">
                  <c:v>6.6088980858768744</c:v>
                </c:pt>
                <c:pt idx="13">
                  <c:v>0</c:v>
                </c:pt>
                <c:pt idx="14">
                  <c:v>5.5993000874890644</c:v>
                </c:pt>
                <c:pt idx="15">
                  <c:v>5.8429987182292811</c:v>
                </c:pt>
                <c:pt idx="16">
                  <c:v>4.2489435266999616</c:v>
                </c:pt>
                <c:pt idx="17">
                  <c:v>3.9188185302944758</c:v>
                </c:pt>
                <c:pt idx="18">
                  <c:v>3.877500372263861</c:v>
                </c:pt>
                <c:pt idx="19">
                  <c:v>0</c:v>
                </c:pt>
                <c:pt idx="20">
                  <c:v>5.1081081081081088</c:v>
                </c:pt>
                <c:pt idx="21">
                  <c:v>4.4916666666666663</c:v>
                </c:pt>
                <c:pt idx="22">
                  <c:v>10.546666666666665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'Teixeira Duarte'!$C$38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EA-4757-96A0-C613ABDB3A34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A-4757-96A0-C613ABDB3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Duarte'!$Q$38:$AN$38</c:f>
              <c:numCache>
                <c:formatCode>0%</c:formatCode>
                <c:ptCount val="24"/>
                <c:pt idx="0">
                  <c:v>0.14411915997584596</c:v>
                </c:pt>
                <c:pt idx="1">
                  <c:v>6.492063492063492E-2</c:v>
                </c:pt>
                <c:pt idx="2">
                  <c:v>9.3975715733737822E-2</c:v>
                </c:pt>
                <c:pt idx="3">
                  <c:v>0.17472519940404252</c:v>
                </c:pt>
                <c:pt idx="4">
                  <c:v>0.20797439543693466</c:v>
                </c:pt>
                <c:pt idx="5">
                  <c:v>0.33532778246648276</c:v>
                </c:pt>
                <c:pt idx="6">
                  <c:v>0.13384976858539988</c:v>
                </c:pt>
                <c:pt idx="7">
                  <c:v>0.11068821535950836</c:v>
                </c:pt>
                <c:pt idx="8">
                  <c:v>0.11161002853836072</c:v>
                </c:pt>
                <c:pt idx="9">
                  <c:v>8.3781467787651998E-2</c:v>
                </c:pt>
                <c:pt idx="10">
                  <c:v>0.38678554990381547</c:v>
                </c:pt>
                <c:pt idx="11">
                  <c:v>0.30071620971809015</c:v>
                </c:pt>
                <c:pt idx="12">
                  <c:v>0.14924751693042423</c:v>
                </c:pt>
                <c:pt idx="13">
                  <c:v>0.15436598717574876</c:v>
                </c:pt>
                <c:pt idx="14">
                  <c:v>0.43957369241533378</c:v>
                </c:pt>
                <c:pt idx="15">
                  <c:v>0.3161523363864186</c:v>
                </c:pt>
                <c:pt idx="16">
                  <c:v>0.43092637098536163</c:v>
                </c:pt>
                <c:pt idx="17">
                  <c:v>0.26695020303483652</c:v>
                </c:pt>
                <c:pt idx="18">
                  <c:v>0.48212228398180901</c:v>
                </c:pt>
                <c:pt idx="19">
                  <c:v>0.36383297062023939</c:v>
                </c:pt>
                <c:pt idx="20">
                  <c:v>0.22823721436343852</c:v>
                </c:pt>
                <c:pt idx="21">
                  <c:v>0.43514504834944984</c:v>
                </c:pt>
                <c:pt idx="22">
                  <c:v>0.25</c:v>
                </c:pt>
                <c:pt idx="23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'Teixeira Duarte'!$C$39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A-4757-96A0-C613ABDB3A34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A-4757-96A0-C613ABDB3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Duarte'!$Q$39:$AN$39</c:f>
              <c:numCache>
                <c:formatCode>0%</c:formatCode>
                <c:ptCount val="24"/>
                <c:pt idx="0">
                  <c:v>8.6238901438060525E-2</c:v>
                </c:pt>
                <c:pt idx="1">
                  <c:v>7.948412698412699E-2</c:v>
                </c:pt>
                <c:pt idx="2">
                  <c:v>9.901544524698927E-2</c:v>
                </c:pt>
                <c:pt idx="3">
                  <c:v>7.4018491996782121E-2</c:v>
                </c:pt>
                <c:pt idx="4">
                  <c:v>8.2352987264315392E-2</c:v>
                </c:pt>
                <c:pt idx="5">
                  <c:v>4.5658189208140715E-2</c:v>
                </c:pt>
                <c:pt idx="6">
                  <c:v>0.1672372531168739</c:v>
                </c:pt>
                <c:pt idx="7">
                  <c:v>0.19900134526181149</c:v>
                </c:pt>
                <c:pt idx="8">
                  <c:v>0.14594676075553842</c:v>
                </c:pt>
                <c:pt idx="9">
                  <c:v>0.14651749492140917</c:v>
                </c:pt>
                <c:pt idx="10">
                  <c:v>-1.0245240933284554</c:v>
                </c:pt>
                <c:pt idx="11">
                  <c:v>0.2279771375849815</c:v>
                </c:pt>
                <c:pt idx="12">
                  <c:v>8.2547161418205506E-2</c:v>
                </c:pt>
                <c:pt idx="13">
                  <c:v>-0.60254440840400303</c:v>
                </c:pt>
                <c:pt idx="14">
                  <c:v>7.3658659334454438E-2</c:v>
                </c:pt>
                <c:pt idx="15">
                  <c:v>0.17734692067153088</c:v>
                </c:pt>
                <c:pt idx="16">
                  <c:v>0.15355254533537252</c:v>
                </c:pt>
                <c:pt idx="17">
                  <c:v>7.1923487924770255E-2</c:v>
                </c:pt>
                <c:pt idx="18">
                  <c:v>5.0901970692268816E-2</c:v>
                </c:pt>
                <c:pt idx="19">
                  <c:v>-1.2649619151251359E-2</c:v>
                </c:pt>
                <c:pt idx="20">
                  <c:v>3.019586507072905E-2</c:v>
                </c:pt>
                <c:pt idx="21">
                  <c:v>4.801600533511171E-2</c:v>
                </c:pt>
                <c:pt idx="22">
                  <c:v>1.717557251908397E-2</c:v>
                </c:pt>
                <c:pt idx="23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'Teixeira Duarte'!$C$37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'Teixeira Duarte'!$Q$3:$AN$3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'Teixeira Duarte'!$Q$37:$AN$37</c:f>
              <c:numCache>
                <c:formatCode>0.0</c:formatCode>
                <c:ptCount val="24"/>
                <c:pt idx="0">
                  <c:v>1.8010635023584276</c:v>
                </c:pt>
                <c:pt idx="1">
                  <c:v>1.5063303099017384</c:v>
                </c:pt>
                <c:pt idx="2">
                  <c:v>1.5433559852821401</c:v>
                </c:pt>
                <c:pt idx="3">
                  <c:v>1.8181752591080118</c:v>
                </c:pt>
                <c:pt idx="4">
                  <c:v>1.0694684389286513</c:v>
                </c:pt>
                <c:pt idx="5">
                  <c:v>1.3226346882990918</c:v>
                </c:pt>
                <c:pt idx="6">
                  <c:v>1.1557101348146774</c:v>
                </c:pt>
                <c:pt idx="7">
                  <c:v>1.0273242522035095</c:v>
                </c:pt>
                <c:pt idx="8">
                  <c:v>1.0679529794099687</c:v>
                </c:pt>
                <c:pt idx="9">
                  <c:v>2.1297123030735214</c:v>
                </c:pt>
                <c:pt idx="10">
                  <c:v>0.74351197290311921</c:v>
                </c:pt>
                <c:pt idx="11">
                  <c:v>0.78814344523458602</c:v>
                </c:pt>
                <c:pt idx="12">
                  <c:v>0.54554577709134777</c:v>
                </c:pt>
                <c:pt idx="13">
                  <c:v>0.2651427472035256</c:v>
                </c:pt>
                <c:pt idx="14">
                  <c:v>0.41243693765573791</c:v>
                </c:pt>
                <c:pt idx="15">
                  <c:v>1.036237830165665</c:v>
                </c:pt>
                <c:pt idx="16">
                  <c:v>0.65243609351103349</c:v>
                </c:pt>
                <c:pt idx="17">
                  <c:v>0.28185509724300062</c:v>
                </c:pt>
                <c:pt idx="18">
                  <c:v>0.19737241030823649</c:v>
                </c:pt>
                <c:pt idx="19">
                  <c:v>0.25478781284004348</c:v>
                </c:pt>
                <c:pt idx="20">
                  <c:v>0.15424374319912948</c:v>
                </c:pt>
                <c:pt idx="21">
                  <c:v>0.21567189063021006</c:v>
                </c:pt>
                <c:pt idx="22">
                  <c:v>0.18114503816793892</c:v>
                </c:pt>
                <c:pt idx="23">
                  <c:v>0.18822074215033302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'Teixeira Duarte'!$C$41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'Teixeira Duarte'!$Q$41:$AN$41</c:f>
              <c:numCache>
                <c:formatCode>0.0</c:formatCode>
                <c:ptCount val="24"/>
                <c:pt idx="0">
                  <c:v>0.98597990252121059</c:v>
                </c:pt>
                <c:pt idx="1">
                  <c:v>0.92233035097222482</c:v>
                </c:pt>
                <c:pt idx="2">
                  <c:v>0.91574437954879828</c:v>
                </c:pt>
                <c:pt idx="3">
                  <c:v>1.2623561847441143</c:v>
                </c:pt>
                <c:pt idx="4">
                  <c:v>1.0840433451898419</c:v>
                </c:pt>
                <c:pt idx="5">
                  <c:v>0.66792555663193387</c:v>
                </c:pt>
                <c:pt idx="6">
                  <c:v>0.84829641846902182</c:v>
                </c:pt>
                <c:pt idx="7">
                  <c:v>0.86911560425991663</c:v>
                </c:pt>
                <c:pt idx="8">
                  <c:v>1.0468640061689221</c:v>
                </c:pt>
                <c:pt idx="9">
                  <c:v>1.075129673842022</c:v>
                </c:pt>
                <c:pt idx="10">
                  <c:v>0.8612006028761009</c:v>
                </c:pt>
                <c:pt idx="11">
                  <c:v>0.8818877376870119</c:v>
                </c:pt>
                <c:pt idx="12">
                  <c:v>1.0356715106429366</c:v>
                </c:pt>
                <c:pt idx="13">
                  <c:v>1.0784275910576373</c:v>
                </c:pt>
                <c:pt idx="14">
                  <c:v>0.89750324281377647</c:v>
                </c:pt>
                <c:pt idx="15">
                  <c:v>0.96385454757600486</c:v>
                </c:pt>
                <c:pt idx="16">
                  <c:v>1.0682123879459127</c:v>
                </c:pt>
                <c:pt idx="17">
                  <c:v>0.98171267357547765</c:v>
                </c:pt>
                <c:pt idx="18">
                  <c:v>1.0261760902054831</c:v>
                </c:pt>
                <c:pt idx="19">
                  <c:v>1.2341414498577683</c:v>
                </c:pt>
                <c:pt idx="20">
                  <c:v>1.6229508196721312</c:v>
                </c:pt>
                <c:pt idx="21">
                  <c:v>1.5089123317570028</c:v>
                </c:pt>
                <c:pt idx="22">
                  <c:v>1.4804294341310666</c:v>
                </c:pt>
                <c:pt idx="23">
                  <c:v>1.1756046267087275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'Teixeira Duarte'!$C$45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'Teixeira Duarte'!$Q$45:$AN$45</c:f>
              <c:numCache>
                <c:formatCode>0.0</c:formatCode>
                <c:ptCount val="24"/>
                <c:pt idx="0">
                  <c:v>3.0541453268624337</c:v>
                </c:pt>
                <c:pt idx="1">
                  <c:v>3.892063492063492</c:v>
                </c:pt>
                <c:pt idx="2">
                  <c:v>2.7430269565279026</c:v>
                </c:pt>
                <c:pt idx="3">
                  <c:v>5.3785989228033086</c:v>
                </c:pt>
                <c:pt idx="4">
                  <c:v>5.7640353042108847</c:v>
                </c:pt>
                <c:pt idx="5">
                  <c:v>6.5694635141773841</c:v>
                </c:pt>
                <c:pt idx="6">
                  <c:v>4.4062675468962098</c:v>
                </c:pt>
                <c:pt idx="7">
                  <c:v>3.4024538163533853</c:v>
                </c:pt>
                <c:pt idx="8">
                  <c:v>2.4925460458913191</c:v>
                </c:pt>
                <c:pt idx="9">
                  <c:v>2.862137981866884</c:v>
                </c:pt>
                <c:pt idx="10">
                  <c:v>8.3766212691631363</c:v>
                </c:pt>
                <c:pt idx="11">
                  <c:v>5.865994112380811</c:v>
                </c:pt>
                <c:pt idx="12">
                  <c:v>3.8420337149425454</c:v>
                </c:pt>
                <c:pt idx="13">
                  <c:v>3.7098370364135382</c:v>
                </c:pt>
                <c:pt idx="14">
                  <c:v>7.4926596045024363</c:v>
                </c:pt>
                <c:pt idx="15">
                  <c:v>6.7166064181322209</c:v>
                </c:pt>
                <c:pt idx="16">
                  <c:v>5.4540091763163652</c:v>
                </c:pt>
                <c:pt idx="17">
                  <c:v>5.1162641590083355</c:v>
                </c:pt>
                <c:pt idx="18">
                  <c:v>5.4173825164224354</c:v>
                </c:pt>
                <c:pt idx="19">
                  <c:v>5.2415669205658322</c:v>
                </c:pt>
                <c:pt idx="20">
                  <c:v>4.0535908596300319</c:v>
                </c:pt>
                <c:pt idx="21">
                  <c:v>5.1687229076358783</c:v>
                </c:pt>
                <c:pt idx="22">
                  <c:v>6.6321564885496178</c:v>
                </c:pt>
                <c:pt idx="23">
                  <c:v>6.8634633682207431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Cofina!$C$7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Cofina!$D$7:$AA$7</c:f>
              <c:numCache>
                <c:formatCode>#,##0</c:formatCode>
                <c:ptCount val="24"/>
                <c:pt idx="0">
                  <c:v>19.878495000000001</c:v>
                </c:pt>
                <c:pt idx="1">
                  <c:v>23.425674999999998</c:v>
                </c:pt>
                <c:pt idx="2">
                  <c:v>25.608554000000002</c:v>
                </c:pt>
                <c:pt idx="3">
                  <c:v>32.823155999999997</c:v>
                </c:pt>
                <c:pt idx="4">
                  <c:v>39.683999999999997</c:v>
                </c:pt>
                <c:pt idx="5">
                  <c:v>37.973999999999997</c:v>
                </c:pt>
                <c:pt idx="6">
                  <c:v>39.090000000000003</c:v>
                </c:pt>
                <c:pt idx="7">
                  <c:v>16.23</c:v>
                </c:pt>
                <c:pt idx="8">
                  <c:v>17.78</c:v>
                </c:pt>
                <c:pt idx="9">
                  <c:v>20.55</c:v>
                </c:pt>
                <c:pt idx="10">
                  <c:v>21.721800000000002</c:v>
                </c:pt>
                <c:pt idx="11">
                  <c:v>23.221142</c:v>
                </c:pt>
                <c:pt idx="12">
                  <c:v>25.5</c:v>
                </c:pt>
                <c:pt idx="13">
                  <c:v>23.194652999999999</c:v>
                </c:pt>
                <c:pt idx="14">
                  <c:v>16.944227000000001</c:v>
                </c:pt>
                <c:pt idx="15">
                  <c:v>17.673931</c:v>
                </c:pt>
                <c:pt idx="16">
                  <c:v>18.521518</c:v>
                </c:pt>
                <c:pt idx="17">
                  <c:v>13.119707999999999</c:v>
                </c:pt>
                <c:pt idx="18">
                  <c:v>14.548026999999999</c:v>
                </c:pt>
                <c:pt idx="19">
                  <c:v>10.946673000000001</c:v>
                </c:pt>
                <c:pt idx="20">
                  <c:v>15.47</c:v>
                </c:pt>
                <c:pt idx="21">
                  <c:v>15</c:v>
                </c:pt>
                <c:pt idx="22">
                  <c:v>10.039999999999999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Cofina!$C$28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Cofina!$D$28:$AA$28</c:f>
              <c:numCache>
                <c:formatCode>0.0</c:formatCode>
                <c:ptCount val="24"/>
                <c:pt idx="0">
                  <c:v>2.6798621525422326</c:v>
                </c:pt>
                <c:pt idx="1">
                  <c:v>3.5748466680255748</c:v>
                </c:pt>
                <c:pt idx="2">
                  <c:v>5.4323639405801671</c:v>
                </c:pt>
                <c:pt idx="3">
                  <c:v>3.3208263093286954</c:v>
                </c:pt>
                <c:pt idx="4">
                  <c:v>2.9356919665356318</c:v>
                </c:pt>
                <c:pt idx="5">
                  <c:v>3.3305682835624379</c:v>
                </c:pt>
                <c:pt idx="6">
                  <c:v>4.6559222307495522</c:v>
                </c:pt>
                <c:pt idx="7">
                  <c:v>9.5424776561922364</c:v>
                </c:pt>
                <c:pt idx="8">
                  <c:v>10.498865102362206</c:v>
                </c:pt>
                <c:pt idx="9">
                  <c:v>7.636288519708029</c:v>
                </c:pt>
                <c:pt idx="10">
                  <c:v>2.1248067011021186</c:v>
                </c:pt>
                <c:pt idx="11">
                  <c:v>4.6819310678174233</c:v>
                </c:pt>
                <c:pt idx="12">
                  <c:v>2.7753108564705884</c:v>
                </c:pt>
                <c:pt idx="13">
                  <c:v>3.3606898693418699</c:v>
                </c:pt>
                <c:pt idx="14">
                  <c:v>3.571354611809674</c:v>
                </c:pt>
                <c:pt idx="15">
                  <c:v>2.9016135685943327</c:v>
                </c:pt>
                <c:pt idx="16">
                  <c:v>2.613774669657206</c:v>
                </c:pt>
                <c:pt idx="17">
                  <c:v>3.4788729307085196</c:v>
                </c:pt>
                <c:pt idx="18">
                  <c:v>1.83304013389582</c:v>
                </c:pt>
                <c:pt idx="19">
                  <c:v>4.2069458331312175</c:v>
                </c:pt>
                <c:pt idx="20">
                  <c:v>3.6730105458306403</c:v>
                </c:pt>
                <c:pt idx="21">
                  <c:v>2.8031031030333335</c:v>
                </c:pt>
                <c:pt idx="22">
                  <c:v>2.451772972111554</c:v>
                </c:pt>
                <c:pt idx="23">
                  <c:v>1.7143146874285715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'Vista Alegre Atlantis'!$C$26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'Vista Alegre Atlantis'!$H$26:$AE$26</c:f>
              <c:numCache>
                <c:formatCode>#,##0</c:formatCode>
                <c:ptCount val="24"/>
                <c:pt idx="0">
                  <c:v>18.327000000000002</c:v>
                </c:pt>
                <c:pt idx="1">
                  <c:v>12.761250000000002</c:v>
                </c:pt>
                <c:pt idx="2">
                  <c:v>9.9937500000000004</c:v>
                </c:pt>
                <c:pt idx="3">
                  <c:v>7.9845999999999995</c:v>
                </c:pt>
                <c:pt idx="4">
                  <c:v>8.5780499999999993</c:v>
                </c:pt>
                <c:pt idx="5">
                  <c:v>7.3911499999999997</c:v>
                </c:pt>
                <c:pt idx="6">
                  <c:v>5.8805500000000004</c:v>
                </c:pt>
                <c:pt idx="7">
                  <c:v>2.1472099999999998</c:v>
                </c:pt>
                <c:pt idx="8">
                  <c:v>11.663415000000001</c:v>
                </c:pt>
                <c:pt idx="9">
                  <c:v>20.9815</c:v>
                </c:pt>
                <c:pt idx="10">
                  <c:v>9.1784999999999997</c:v>
                </c:pt>
                <c:pt idx="11">
                  <c:v>14.4275</c:v>
                </c:pt>
                <c:pt idx="12">
                  <c:v>92.50800000000001</c:v>
                </c:pt>
                <c:pt idx="13">
                  <c:v>80.944500000000005</c:v>
                </c:pt>
                <c:pt idx="14">
                  <c:v>92.50800000000001</c:v>
                </c:pt>
                <c:pt idx="15">
                  <c:v>92.50800000000001</c:v>
                </c:pt>
                <c:pt idx="16">
                  <c:v>127.19850000000001</c:v>
                </c:pt>
                <c:pt idx="17">
                  <c:v>92.50800000000001</c:v>
                </c:pt>
                <c:pt idx="18">
                  <c:v>104.0715</c:v>
                </c:pt>
                <c:pt idx="19">
                  <c:v>173.45250000000001</c:v>
                </c:pt>
                <c:pt idx="20">
                  <c:v>245.3801</c:v>
                </c:pt>
                <c:pt idx="21">
                  <c:v>216.42098774599998</c:v>
                </c:pt>
                <c:pt idx="22">
                  <c:v>155.9145</c:v>
                </c:pt>
                <c:pt idx="23">
                  <c:v>184.47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'Vista Alegre Atlantis'!$C$5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Atlantis'!$H$5:$AE$5</c:f>
              <c:numCache>
                <c:formatCode>#,##0</c:formatCode>
                <c:ptCount val="24"/>
                <c:pt idx="0">
                  <c:v>3.0750000000000002</c:v>
                </c:pt>
                <c:pt idx="1">
                  <c:v>3.0750000000000002</c:v>
                </c:pt>
                <c:pt idx="2">
                  <c:v>3.0750000000000002</c:v>
                </c:pt>
                <c:pt idx="3">
                  <c:v>5.3949999999999996</c:v>
                </c:pt>
                <c:pt idx="4">
                  <c:v>5.3949999999999996</c:v>
                </c:pt>
                <c:pt idx="5">
                  <c:v>5.3949999999999996</c:v>
                </c:pt>
                <c:pt idx="6">
                  <c:v>5.3949999999999996</c:v>
                </c:pt>
                <c:pt idx="7">
                  <c:v>5.3949999999999996</c:v>
                </c:pt>
                <c:pt idx="8">
                  <c:v>8.5950000000000006</c:v>
                </c:pt>
                <c:pt idx="9">
                  <c:v>14.5</c:v>
                </c:pt>
                <c:pt idx="10">
                  <c:v>14.5</c:v>
                </c:pt>
                <c:pt idx="11">
                  <c:v>14.5</c:v>
                </c:pt>
                <c:pt idx="12">
                  <c:v>115.63500000000001</c:v>
                </c:pt>
                <c:pt idx="13">
                  <c:v>115.63500000000001</c:v>
                </c:pt>
                <c:pt idx="14">
                  <c:v>115.63500000000001</c:v>
                </c:pt>
                <c:pt idx="15">
                  <c:v>115.63500000000001</c:v>
                </c:pt>
                <c:pt idx="16">
                  <c:v>115.63500000000001</c:v>
                </c:pt>
                <c:pt idx="17">
                  <c:v>115.63500000000001</c:v>
                </c:pt>
                <c:pt idx="18">
                  <c:v>115.63500000000001</c:v>
                </c:pt>
                <c:pt idx="19">
                  <c:v>115.63500000000001</c:v>
                </c:pt>
                <c:pt idx="20">
                  <c:v>152.41</c:v>
                </c:pt>
                <c:pt idx="21">
                  <c:v>152.4091463</c:v>
                </c:pt>
                <c:pt idx="22">
                  <c:v>167.65</c:v>
                </c:pt>
                <c:pt idx="23">
                  <c:v>167.7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'Vista Alegre Atlantis'!$C$6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Atlantis'!$H$6:$AE$6</c:f>
              <c:numCache>
                <c:formatCode>#,##0</c:formatCode>
                <c:ptCount val="24"/>
                <c:pt idx="0">
                  <c:v>83.023235</c:v>
                </c:pt>
                <c:pt idx="1">
                  <c:v>85.415610000000001</c:v>
                </c:pt>
                <c:pt idx="2">
                  <c:v>88.739000000000004</c:v>
                </c:pt>
                <c:pt idx="3">
                  <c:v>124.885819</c:v>
                </c:pt>
                <c:pt idx="4">
                  <c:v>141.31901400000001</c:v>
                </c:pt>
                <c:pt idx="5">
                  <c:v>136.17688200000001</c:v>
                </c:pt>
                <c:pt idx="6">
                  <c:v>94.24</c:v>
                </c:pt>
                <c:pt idx="7">
                  <c:v>79.590999999999994</c:v>
                </c:pt>
                <c:pt idx="8">
                  <c:v>75.960999999999999</c:v>
                </c:pt>
                <c:pt idx="9">
                  <c:v>68.323999999999998</c:v>
                </c:pt>
                <c:pt idx="10">
                  <c:v>59.707000000000001</c:v>
                </c:pt>
                <c:pt idx="11">
                  <c:v>54.362000000000002</c:v>
                </c:pt>
                <c:pt idx="12">
                  <c:v>50.777000000000001</c:v>
                </c:pt>
                <c:pt idx="13">
                  <c:v>53.9</c:v>
                </c:pt>
                <c:pt idx="14">
                  <c:v>54.235999999999997</c:v>
                </c:pt>
                <c:pt idx="15">
                  <c:v>54.171999999999997</c:v>
                </c:pt>
                <c:pt idx="16">
                  <c:v>65.17</c:v>
                </c:pt>
                <c:pt idx="17">
                  <c:v>71.831000000000003</c:v>
                </c:pt>
                <c:pt idx="18">
                  <c:v>75.438999999999993</c:v>
                </c:pt>
                <c:pt idx="19">
                  <c:v>84.980999999999995</c:v>
                </c:pt>
                <c:pt idx="20">
                  <c:v>99</c:v>
                </c:pt>
                <c:pt idx="21">
                  <c:v>120.1</c:v>
                </c:pt>
                <c:pt idx="22">
                  <c:v>110.4</c:v>
                </c:pt>
                <c:pt idx="23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'Vista Alegre Atlantis'!$C$27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'Vista Alegre Atlantis'!$H$27:$AE$27</c:f>
              <c:numCache>
                <c:formatCode>0.0</c:formatCode>
                <c:ptCount val="24"/>
                <c:pt idx="0">
                  <c:v>0.22074543349220255</c:v>
                </c:pt>
                <c:pt idx="1">
                  <c:v>0.14940184821018082</c:v>
                </c:pt>
                <c:pt idx="2">
                  <c:v>0.11261959228749478</c:v>
                </c:pt>
                <c:pt idx="3">
                  <c:v>6.3935201481923262E-2</c:v>
                </c:pt>
                <c:pt idx="4">
                  <c:v>6.0699899873346119E-2</c:v>
                </c:pt>
                <c:pt idx="5">
                  <c:v>5.4276099521796947E-2</c:v>
                </c:pt>
                <c:pt idx="6">
                  <c:v>6.2399724108658752E-2</c:v>
                </c:pt>
                <c:pt idx="7">
                  <c:v>2.6978050282067068E-2</c:v>
                </c:pt>
                <c:pt idx="8">
                  <c:v>0.15354477955793105</c:v>
                </c:pt>
                <c:pt idx="9">
                  <c:v>0.30708828522920206</c:v>
                </c:pt>
                <c:pt idx="10">
                  <c:v>0.15372569380474652</c:v>
                </c:pt>
                <c:pt idx="11">
                  <c:v>0.26539678451859755</c:v>
                </c:pt>
                <c:pt idx="12">
                  <c:v>1.8218484747031138</c:v>
                </c:pt>
                <c:pt idx="13">
                  <c:v>1.5017532467532468</c:v>
                </c:pt>
                <c:pt idx="14">
                  <c:v>1.7056567593480347</c:v>
                </c:pt>
                <c:pt idx="15">
                  <c:v>1.7076718600014771</c:v>
                </c:pt>
                <c:pt idx="16">
                  <c:v>1.9517953045880008</c:v>
                </c:pt>
                <c:pt idx="17">
                  <c:v>1.2878562180674082</c:v>
                </c:pt>
                <c:pt idx="18">
                  <c:v>1.3795450628985009</c:v>
                </c:pt>
                <c:pt idx="19">
                  <c:v>2.0410738871041767</c:v>
                </c:pt>
                <c:pt idx="20">
                  <c:v>2.4785868686868686</c:v>
                </c:pt>
                <c:pt idx="21">
                  <c:v>1.8020065590840966</c:v>
                </c:pt>
                <c:pt idx="22">
                  <c:v>1.4122690217391305</c:v>
                </c:pt>
                <c:pt idx="23">
                  <c:v>1.618157894736842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'Vista Alegre Atlantis'!$C$7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Atlantis'!$H$7:$AE$7</c:f>
              <c:numCache>
                <c:formatCode>#,##0</c:formatCode>
                <c:ptCount val="24"/>
                <c:pt idx="0">
                  <c:v>7.4306150000000004</c:v>
                </c:pt>
                <c:pt idx="1">
                  <c:v>6.6066750000000001</c:v>
                </c:pt>
                <c:pt idx="2">
                  <c:v>4.4640000000000004</c:v>
                </c:pt>
                <c:pt idx="3" formatCode="#,##0.00">
                  <c:v>-0.19633</c:v>
                </c:pt>
                <c:pt idx="4" formatCode="#,##0.00">
                  <c:v>0.58823999999999999</c:v>
                </c:pt>
                <c:pt idx="5" formatCode="#,##0.00">
                  <c:v>-13.125231999999999</c:v>
                </c:pt>
                <c:pt idx="6" formatCode="#,##0.00">
                  <c:v>-3.4619999999999997</c:v>
                </c:pt>
                <c:pt idx="7">
                  <c:v>-3.0140000000000011</c:v>
                </c:pt>
                <c:pt idx="8">
                  <c:v>-2.3989999999999991</c:v>
                </c:pt>
                <c:pt idx="9">
                  <c:v>0.59400000000000031</c:v>
                </c:pt>
                <c:pt idx="10">
                  <c:v>-0.64300000000000068</c:v>
                </c:pt>
                <c:pt idx="11">
                  <c:v>-6.3990000000000009</c:v>
                </c:pt>
                <c:pt idx="12">
                  <c:v>0.17900000000000027</c:v>
                </c:pt>
                <c:pt idx="13">
                  <c:v>4.3760000000000003</c:v>
                </c:pt>
                <c:pt idx="14">
                  <c:v>1.8080000000000001</c:v>
                </c:pt>
                <c:pt idx="15">
                  <c:v>1.6410000000000002</c:v>
                </c:pt>
                <c:pt idx="16">
                  <c:v>8.3569999999999993</c:v>
                </c:pt>
                <c:pt idx="17">
                  <c:v>8.8569999999999993</c:v>
                </c:pt>
                <c:pt idx="18">
                  <c:v>11.085000000000001</c:v>
                </c:pt>
                <c:pt idx="19">
                  <c:v>14.114999999999998</c:v>
                </c:pt>
                <c:pt idx="20">
                  <c:v>14.05</c:v>
                </c:pt>
                <c:pt idx="21">
                  <c:v>25.6</c:v>
                </c:pt>
                <c:pt idx="22">
                  <c:v>16.010000000000002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'Vista Alegre Atlantis'!$C$28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'Vista Alegre Atlantis'!$H$28:$AE$28</c:f>
              <c:numCache>
                <c:formatCode>0.0</c:formatCode>
                <c:ptCount val="24"/>
                <c:pt idx="0">
                  <c:v>2.4664176518363554</c:v>
                </c:pt>
                <c:pt idx="1">
                  <c:v>1.9315692084142178</c:v>
                </c:pt>
                <c:pt idx="2">
                  <c:v>2.2387432795698925</c:v>
                </c:pt>
                <c:pt idx="3">
                  <c:v>-40.669281312076599</c:v>
                </c:pt>
                <c:pt idx="4">
                  <c:v>14.582568339453283</c:v>
                </c:pt>
                <c:pt idx="5">
                  <c:v>-0.56312528418545293</c:v>
                </c:pt>
                <c:pt idx="6">
                  <c:v>-1.6985990756787985</c:v>
                </c:pt>
                <c:pt idx="7">
                  <c:v>-0.71241207697412046</c:v>
                </c:pt>
                <c:pt idx="8">
                  <c:v>-4.8617819924968755</c:v>
                </c:pt>
                <c:pt idx="9">
                  <c:v>35.322390572390553</c:v>
                </c:pt>
                <c:pt idx="10">
                  <c:v>-14.274494556765148</c:v>
                </c:pt>
                <c:pt idx="11">
                  <c:v>-2.2546491639318642</c:v>
                </c:pt>
                <c:pt idx="12">
                  <c:v>516.80446927374226</c:v>
                </c:pt>
                <c:pt idx="13">
                  <c:v>18.497372029250457</c:v>
                </c:pt>
                <c:pt idx="14">
                  <c:v>51.165929203539825</c:v>
                </c:pt>
                <c:pt idx="15">
                  <c:v>56.372943327239483</c:v>
                </c:pt>
                <c:pt idx="16">
                  <c:v>15.220593514419052</c:v>
                </c:pt>
                <c:pt idx="17">
                  <c:v>10.444620074517333</c:v>
                </c:pt>
                <c:pt idx="18">
                  <c:v>9.3884979702300395</c:v>
                </c:pt>
                <c:pt idx="19">
                  <c:v>12.28852284803401</c:v>
                </c:pt>
                <c:pt idx="20">
                  <c:v>17.464775800711742</c:v>
                </c:pt>
                <c:pt idx="21">
                  <c:v>8.4539448338281229</c:v>
                </c:pt>
                <c:pt idx="22">
                  <c:v>9.7385696439725162</c:v>
                </c:pt>
                <c:pt idx="23">
                  <c:v>8.7842857142857138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'Vista Alegre Atlantis'!$C$32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D-4546-AEC3-EA6620C2C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Atlantis'!$H$32:$AE$32</c:f>
              <c:numCache>
                <c:formatCode>0.0%</c:formatCode>
                <c:ptCount val="24"/>
                <c:pt idx="0">
                  <c:v>8.9500427199686941E-2</c:v>
                </c:pt>
                <c:pt idx="1">
                  <c:v>7.7347395868272786E-2</c:v>
                </c:pt>
                <c:pt idx="2">
                  <c:v>5.0304826513708746E-2</c:v>
                </c:pt>
                <c:pt idx="3">
                  <c:v>-1.5720760096868966E-3</c:v>
                </c:pt>
                <c:pt idx="4">
                  <c:v>4.1624971994214449E-3</c:v>
                </c:pt>
                <c:pt idx="5">
                  <c:v>-9.6383701897360216E-2</c:v>
                </c:pt>
                <c:pt idx="6">
                  <c:v>-3.6735993208828525E-2</c:v>
                </c:pt>
                <c:pt idx="7">
                  <c:v>-3.7868603234034015E-2</c:v>
                </c:pt>
                <c:pt idx="8">
                  <c:v>-3.1581996024275603E-2</c:v>
                </c:pt>
                <c:pt idx="9">
                  <c:v>8.693870382296123E-3</c:v>
                </c:pt>
                <c:pt idx="10">
                  <c:v>-1.0769256536084558E-2</c:v>
                </c:pt>
                <c:pt idx="11">
                  <c:v>-0.11771090099701999</c:v>
                </c:pt>
                <c:pt idx="12">
                  <c:v>3.525218110561874E-3</c:v>
                </c:pt>
                <c:pt idx="13">
                  <c:v>8.1187384044526911E-2</c:v>
                </c:pt>
                <c:pt idx="14">
                  <c:v>3.3335791725053472E-2</c:v>
                </c:pt>
                <c:pt idx="15">
                  <c:v>3.0292401978882087E-2</c:v>
                </c:pt>
                <c:pt idx="16">
                  <c:v>0.1282338499309498</c:v>
                </c:pt>
                <c:pt idx="17">
                  <c:v>0.12330330915621387</c:v>
                </c:pt>
                <c:pt idx="18">
                  <c:v>0.1469399117167513</c:v>
                </c:pt>
                <c:pt idx="19">
                  <c:v>0.16609595085960391</c:v>
                </c:pt>
                <c:pt idx="20">
                  <c:v>0.14191919191919192</c:v>
                </c:pt>
                <c:pt idx="21">
                  <c:v>0.21315570358034974</c:v>
                </c:pt>
                <c:pt idx="22">
                  <c:v>0.14501811594202899</c:v>
                </c:pt>
                <c:pt idx="23">
                  <c:v>0.18421052631578946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'Vista Alegre Atlantis'!$C$33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4D-4546-AEC3-EA6620C2C527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D-4546-AEC3-EA6620C2C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Atlantis'!$H$33:$AE$33</c:f>
              <c:numCache>
                <c:formatCode>0.0%</c:formatCode>
                <c:ptCount val="24"/>
                <c:pt idx="0">
                  <c:v>8.9481035037962564E-2</c:v>
                </c:pt>
                <c:pt idx="1">
                  <c:v>7.4967854236479725E-2</c:v>
                </c:pt>
                <c:pt idx="2">
                  <c:v>4.9786452405368553E-2</c:v>
                </c:pt>
                <c:pt idx="3">
                  <c:v>-1.6930264916627566E-3</c:v>
                </c:pt>
                <c:pt idx="4">
                  <c:v>2.4701630029770796E-3</c:v>
                </c:pt>
                <c:pt idx="5">
                  <c:v>-9.8139939788017758E-2</c:v>
                </c:pt>
                <c:pt idx="6">
                  <c:v>-0.16014431239388796</c:v>
                </c:pt>
                <c:pt idx="7">
                  <c:v>-0.16638815946526619</c:v>
                </c:pt>
                <c:pt idx="8">
                  <c:v>-0.15098537407353774</c:v>
                </c:pt>
                <c:pt idx="9">
                  <c:v>-0.10358000117089164</c:v>
                </c:pt>
                <c:pt idx="10">
                  <c:v>-0.20205336057748671</c:v>
                </c:pt>
                <c:pt idx="11">
                  <c:v>-0.34386152091534528</c:v>
                </c:pt>
                <c:pt idx="12">
                  <c:v>-4.005750635130078E-2</c:v>
                </c:pt>
                <c:pt idx="13">
                  <c:v>5.0779220779220785E-2</c:v>
                </c:pt>
                <c:pt idx="14">
                  <c:v>-3.2321705140497085E-2</c:v>
                </c:pt>
                <c:pt idx="15">
                  <c:v>-3.3467473971793546E-2</c:v>
                </c:pt>
                <c:pt idx="16">
                  <c:v>3.4939389289550406E-2</c:v>
                </c:pt>
                <c:pt idx="17">
                  <c:v>3.8172933691581624E-2</c:v>
                </c:pt>
                <c:pt idx="18">
                  <c:v>7.3317514813292864E-2</c:v>
                </c:pt>
                <c:pt idx="19">
                  <c:v>9.0620256292583051E-2</c:v>
                </c:pt>
                <c:pt idx="20">
                  <c:v>8.0909090909090903E-2</c:v>
                </c:pt>
                <c:pt idx="21">
                  <c:v>0.1189841798501249</c:v>
                </c:pt>
                <c:pt idx="22">
                  <c:v>2.22463768115942E-2</c:v>
                </c:pt>
                <c:pt idx="23">
                  <c:v>9.6491228070175433E-2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'Vista Alegre Atlantis'!$C$35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D-4546-AEC3-EA6620C2C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Atlantis'!$H$35:$AE$35</c:f>
              <c:numCache>
                <c:formatCode>0.0%</c:formatCode>
                <c:ptCount val="24"/>
                <c:pt idx="0">
                  <c:v>7.832632635912104E-2</c:v>
                </c:pt>
                <c:pt idx="1">
                  <c:v>-1.9153524747993957E-2</c:v>
                </c:pt>
                <c:pt idx="2">
                  <c:v>1.9495374074533179E-3</c:v>
                </c:pt>
                <c:pt idx="3">
                  <c:v>1.7269294602616171E-3</c:v>
                </c:pt>
                <c:pt idx="4">
                  <c:v>-4.1749795961638957E-3</c:v>
                </c:pt>
                <c:pt idx="5">
                  <c:v>-0.21644723074214609</c:v>
                </c:pt>
                <c:pt idx="6">
                  <c:v>-0.14675297113752123</c:v>
                </c:pt>
                <c:pt idx="7">
                  <c:v>-0.23023959995476875</c:v>
                </c:pt>
                <c:pt idx="8">
                  <c:v>-0.1958636668816893</c:v>
                </c:pt>
                <c:pt idx="9">
                  <c:v>-0.18100521046777124</c:v>
                </c:pt>
                <c:pt idx="10">
                  <c:v>-0.30812132580769419</c:v>
                </c:pt>
                <c:pt idx="11">
                  <c:v>-0.33817740333321067</c:v>
                </c:pt>
                <c:pt idx="12">
                  <c:v>-7.3793252850700111E-2</c:v>
                </c:pt>
                <c:pt idx="13">
                  <c:v>1.6697588126159555E-4</c:v>
                </c:pt>
                <c:pt idx="14">
                  <c:v>-6.5528431300243384E-2</c:v>
                </c:pt>
                <c:pt idx="15">
                  <c:v>-7.4115779369415935E-2</c:v>
                </c:pt>
                <c:pt idx="16">
                  <c:v>-3.0243977290164186E-2</c:v>
                </c:pt>
                <c:pt idx="17">
                  <c:v>-1.133215464075399E-2</c:v>
                </c:pt>
                <c:pt idx="18">
                  <c:v>2.3078248651228147E-2</c:v>
                </c:pt>
                <c:pt idx="19">
                  <c:v>4.9634624210117557E-2</c:v>
                </c:pt>
                <c:pt idx="20">
                  <c:v>3.7656565656565659E-2</c:v>
                </c:pt>
                <c:pt idx="21">
                  <c:v>6.2064945878434641E-2</c:v>
                </c:pt>
                <c:pt idx="22">
                  <c:v>-1.9266304347826085E-2</c:v>
                </c:pt>
                <c:pt idx="23">
                  <c:v>6.1403508771929821E-2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'Vista Alegre Atlantis'!$C$12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Atlantis'!$H$12:$AE$12</c:f>
              <c:numCache>
                <c:formatCode>#,##0</c:formatCode>
                <c:ptCount val="24"/>
                <c:pt idx="0">
                  <c:v>6.5029050000000002</c:v>
                </c:pt>
                <c:pt idx="1">
                  <c:v>-1.63601</c:v>
                </c:pt>
                <c:pt idx="2" formatCode="#,##0.00">
                  <c:v>0.17299999999999999</c:v>
                </c:pt>
                <c:pt idx="3" formatCode="#,##0.00">
                  <c:v>0.215669</c:v>
                </c:pt>
                <c:pt idx="4">
                  <c:v>-0.59000399999999997</c:v>
                </c:pt>
                <c:pt idx="5">
                  <c:v>-29.475109</c:v>
                </c:pt>
                <c:pt idx="6">
                  <c:v>-13.83</c:v>
                </c:pt>
                <c:pt idx="7">
                  <c:v>-18.324999999999999</c:v>
                </c:pt>
                <c:pt idx="8">
                  <c:v>-14.878</c:v>
                </c:pt>
                <c:pt idx="9">
                  <c:v>-12.367000000000001</c:v>
                </c:pt>
                <c:pt idx="10">
                  <c:v>-18.396999999999998</c:v>
                </c:pt>
                <c:pt idx="11">
                  <c:v>-18.384</c:v>
                </c:pt>
                <c:pt idx="12">
                  <c:v>-3.7469999999999999</c:v>
                </c:pt>
                <c:pt idx="13" formatCode="#\ ##0.000">
                  <c:v>8.9999999999999993E-3</c:v>
                </c:pt>
                <c:pt idx="14">
                  <c:v>-3.5539999999999998</c:v>
                </c:pt>
                <c:pt idx="15">
                  <c:v>-4.0149999999999997</c:v>
                </c:pt>
                <c:pt idx="16">
                  <c:v>-1.9710000000000001</c:v>
                </c:pt>
                <c:pt idx="17">
                  <c:v>-0.81399999999999995</c:v>
                </c:pt>
                <c:pt idx="18">
                  <c:v>1.7410000000000001</c:v>
                </c:pt>
                <c:pt idx="19">
                  <c:v>4.218</c:v>
                </c:pt>
                <c:pt idx="20">
                  <c:v>3.7280000000000002</c:v>
                </c:pt>
                <c:pt idx="21">
                  <c:v>7.4539999999999997</c:v>
                </c:pt>
                <c:pt idx="22">
                  <c:v>-2.1269999999999998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'Vista Alegre Atlantis'!$C$36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val>
            <c:numRef>
              <c:f>'Vista Alegre Atlantis'!$H$36:$AE$36</c:f>
              <c:numCache>
                <c:formatCode>0.0</c:formatCode>
                <c:ptCount val="24"/>
                <c:pt idx="0">
                  <c:v>2.8182789076574242</c:v>
                </c:pt>
                <c:pt idx="1">
                  <c:v>0</c:v>
                </c:pt>
                <c:pt idx="2">
                  <c:v>57.767341040462433</c:v>
                </c:pt>
                <c:pt idx="3">
                  <c:v>37.02247425452893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8993.8333333333339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59.776852383687533</c:v>
                </c:pt>
                <c:pt idx="19">
                  <c:v>41.121977240398294</c:v>
                </c:pt>
                <c:pt idx="20">
                  <c:v>65.820842274678114</c:v>
                </c:pt>
                <c:pt idx="21">
                  <c:v>29.03420817628119</c:v>
                </c:pt>
                <c:pt idx="22">
                  <c:v>0</c:v>
                </c:pt>
                <c:pt idx="23">
                  <c:v>26.352857142857143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'Vista Alegre Atlantis'!$C$38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Atlantis'!$H$38:$AE$38</c:f>
              <c:numCache>
                <c:formatCode>0%</c:formatCode>
                <c:ptCount val="24"/>
                <c:pt idx="0">
                  <c:v>0.13248292159152739</c:v>
                </c:pt>
                <c:pt idx="1">
                  <c:v>0.13250305939045603</c:v>
                </c:pt>
                <c:pt idx="2">
                  <c:v>9.207636794783701E-2</c:v>
                </c:pt>
                <c:pt idx="3">
                  <c:v>-4.5660453676186433E-3</c:v>
                </c:pt>
                <c:pt idx="4">
                  <c:v>7.8816719410437809E-3</c:v>
                </c:pt>
                <c:pt idx="5">
                  <c:v>-0.83304567585959233</c:v>
                </c:pt>
                <c:pt idx="6">
                  <c:v>-1.6890878567431449</c:v>
                </c:pt>
                <c:pt idx="7">
                  <c:v>0.8794660645504051</c:v>
                </c:pt>
                <c:pt idx="8">
                  <c:v>-11.178362573099415</c:v>
                </c:pt>
                <c:pt idx="9">
                  <c:v>0.67393581563660609</c:v>
                </c:pt>
                <c:pt idx="10">
                  <c:v>0.42973675773875253</c:v>
                </c:pt>
                <c:pt idx="11">
                  <c:v>0.41088934804589622</c:v>
                </c:pt>
                <c:pt idx="12">
                  <c:v>-6.5031812513987902E-2</c:v>
                </c:pt>
                <c:pt idx="13">
                  <c:v>8.2197128956694093E-2</c:v>
                </c:pt>
                <c:pt idx="14">
                  <c:v>-5.7560334920374323E-2</c:v>
                </c:pt>
                <c:pt idx="15">
                  <c:v>-6.5239294710327453E-2</c:v>
                </c:pt>
                <c:pt idx="16">
                  <c:v>8.0176056338028184E-2</c:v>
                </c:pt>
                <c:pt idx="17">
                  <c:v>9.9709090909090914E-2</c:v>
                </c:pt>
                <c:pt idx="18">
                  <c:v>0.17841935483870966</c:v>
                </c:pt>
                <c:pt idx="19">
                  <c:v>9.3572296476306202E-2</c:v>
                </c:pt>
                <c:pt idx="20">
                  <c:v>0.16181818181818181</c:v>
                </c:pt>
                <c:pt idx="21">
                  <c:v>0.199025069637883</c:v>
                </c:pt>
                <c:pt idx="22">
                  <c:v>3.761102603369066E-2</c:v>
                </c:pt>
                <c:pt idx="23">
                  <c:v>0.16793893129770993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'Vista Alegre Atlantis'!$C$39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2F-4D20-AB95-F37095C1F1E7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2F-4D20-AB95-F37095C1F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Atlantis'!$H$39:$AE$39</c:f>
              <c:numCache>
                <c:formatCode>0%</c:formatCode>
                <c:ptCount val="24"/>
                <c:pt idx="0">
                  <c:v>0.11596759636480947</c:v>
                </c:pt>
                <c:pt idx="1">
                  <c:v>-3.3853184849261135E-2</c:v>
                </c:pt>
                <c:pt idx="2">
                  <c:v>3.6055254990891355E-3</c:v>
                </c:pt>
                <c:pt idx="3">
                  <c:v>4.6574807311416996E-3</c:v>
                </c:pt>
                <c:pt idx="4">
                  <c:v>-1.3321315029759841E-2</c:v>
                </c:pt>
                <c:pt idx="5">
                  <c:v>-1.8372787879328101</c:v>
                </c:pt>
                <c:pt idx="6">
                  <c:v>-1.5478455512031337</c:v>
                </c:pt>
                <c:pt idx="7">
                  <c:v>1.2169610838092708</c:v>
                </c:pt>
                <c:pt idx="8">
                  <c:v>-14.500974658869396</c:v>
                </c:pt>
                <c:pt idx="9">
                  <c:v>1.1776973621559852</c:v>
                </c:pt>
                <c:pt idx="10">
                  <c:v>0.65532718270224055</c:v>
                </c:pt>
                <c:pt idx="11">
                  <c:v>0.40409724359256166</c:v>
                </c:pt>
                <c:pt idx="12">
                  <c:v>-0.11980049237458835</c:v>
                </c:pt>
                <c:pt idx="13">
                  <c:v>2.7028650369391552E-4</c:v>
                </c:pt>
                <c:pt idx="14">
                  <c:v>-0.11669676571991464</c:v>
                </c:pt>
                <c:pt idx="15">
                  <c:v>-0.1444764303706369</c:v>
                </c:pt>
                <c:pt idx="16">
                  <c:v>-6.9401408450704236E-2</c:v>
                </c:pt>
                <c:pt idx="17">
                  <c:v>-2.9599999999999998E-2</c:v>
                </c:pt>
                <c:pt idx="18">
                  <c:v>5.6161290322580645E-2</c:v>
                </c:pt>
                <c:pt idx="19">
                  <c:v>5.1251518833535847E-2</c:v>
                </c:pt>
                <c:pt idx="20">
                  <c:v>7.5313131313131318E-2</c:v>
                </c:pt>
                <c:pt idx="21">
                  <c:v>0.10381615598885793</c:v>
                </c:pt>
                <c:pt idx="22">
                  <c:v>-3.2572741194486984E-2</c:v>
                </c:pt>
                <c:pt idx="23">
                  <c:v>0.10687022900763359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'Vista Alegre Atlantis'!$C$37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'Vista Alegre Atlantis'!$H$3:$AE$3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'Vista Alegre Atlantis'!$H$37:$AE$37</c:f>
              <c:numCache>
                <c:formatCode>0.0</c:formatCode>
                <c:ptCount val="24"/>
                <c:pt idx="0">
                  <c:v>0.3268290308066723</c:v>
                </c:pt>
                <c:pt idx="1">
                  <c:v>0.26406253944513403</c:v>
                </c:pt>
                <c:pt idx="2">
                  <c:v>0.20828162113596563</c:v>
                </c:pt>
                <c:pt idx="3">
                  <c:v>0.17243146045965813</c:v>
                </c:pt>
                <c:pt idx="4">
                  <c:v>0.19367818928521061</c:v>
                </c:pt>
                <c:pt idx="5">
                  <c:v>0.46071426278456129</c:v>
                </c:pt>
                <c:pt idx="6">
                  <c:v>0.65814773363178514</c:v>
                </c:pt>
                <c:pt idx="7">
                  <c:v>-0.14259596227918714</c:v>
                </c:pt>
                <c:pt idx="8">
                  <c:v>11.367850877192982</c:v>
                </c:pt>
                <c:pt idx="9">
                  <c:v>-1.9980478049709554</c:v>
                </c:pt>
                <c:pt idx="10">
                  <c:v>-0.32695116303921917</c:v>
                </c:pt>
                <c:pt idx="11">
                  <c:v>-0.31712973139315076</c:v>
                </c:pt>
                <c:pt idx="12">
                  <c:v>2.9577005467276276</c:v>
                </c:pt>
                <c:pt idx="13">
                  <c:v>2.4309117664724607</c:v>
                </c:pt>
                <c:pt idx="14">
                  <c:v>3.0375307831226404</c:v>
                </c:pt>
                <c:pt idx="15">
                  <c:v>3.3288233177401949</c:v>
                </c:pt>
                <c:pt idx="16">
                  <c:v>4.478820422535212</c:v>
                </c:pt>
                <c:pt idx="17">
                  <c:v>3.3639272727272731</c:v>
                </c:pt>
                <c:pt idx="18">
                  <c:v>3.3571451612903225</c:v>
                </c:pt>
                <c:pt idx="19">
                  <c:v>2.1075637910085057</c:v>
                </c:pt>
                <c:pt idx="20">
                  <c:v>4.9571737373737372</c:v>
                </c:pt>
                <c:pt idx="21">
                  <c:v>3.0142198850417827</c:v>
                </c:pt>
                <c:pt idx="22">
                  <c:v>2.387664624808576</c:v>
                </c:pt>
                <c:pt idx="23">
                  <c:v>2.8163358778625955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'Vista Alegre Atlantis'!$C$41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'Vista Alegre Atlantis'!$H$41:$AE$41</c:f>
              <c:numCache>
                <c:formatCode>0.0</c:formatCode>
                <c:ptCount val="24"/>
                <c:pt idx="0">
                  <c:v>0.95870097058112724</c:v>
                </c:pt>
                <c:pt idx="1">
                  <c:v>0.87741520977604603</c:v>
                </c:pt>
                <c:pt idx="2">
                  <c:v>0.6856074820200605</c:v>
                </c:pt>
                <c:pt idx="3">
                  <c:v>0.7447522587422053</c:v>
                </c:pt>
                <c:pt idx="4">
                  <c:v>0.74033308784393181</c:v>
                </c:pt>
                <c:pt idx="5">
                  <c:v>0.82437720115812707</c:v>
                </c:pt>
                <c:pt idx="6">
                  <c:v>0.53390031672397531</c:v>
                </c:pt>
                <c:pt idx="7">
                  <c:v>0.46578123787600556</c:v>
                </c:pt>
                <c:pt idx="8">
                  <c:v>0.61913003871555461</c:v>
                </c:pt>
                <c:pt idx="9">
                  <c:v>0.89821605789945036</c:v>
                </c:pt>
                <c:pt idx="10">
                  <c:v>0.70416744923725461</c:v>
                </c:pt>
                <c:pt idx="11">
                  <c:v>0.45398031702624925</c:v>
                </c:pt>
                <c:pt idx="12">
                  <c:v>3.0365624654810555</c:v>
                </c:pt>
                <c:pt idx="13">
                  <c:v>3.0379207227842464</c:v>
                </c:pt>
                <c:pt idx="14">
                  <c:v>2.6302931596091206</c:v>
                </c:pt>
                <c:pt idx="15">
                  <c:v>1.6724348689739474</c:v>
                </c:pt>
                <c:pt idx="16">
                  <c:v>1.3508279378903341</c:v>
                </c:pt>
                <c:pt idx="17">
                  <c:v>1.2350271557175805</c:v>
                </c:pt>
                <c:pt idx="18">
                  <c:v>1.2356529168842265</c:v>
                </c:pt>
                <c:pt idx="19">
                  <c:v>1.0478078991687945</c:v>
                </c:pt>
                <c:pt idx="20">
                  <c:v>0.79756637168141586</c:v>
                </c:pt>
                <c:pt idx="21">
                  <c:v>1.006281407035176</c:v>
                </c:pt>
                <c:pt idx="22">
                  <c:v>1.1826771653543307</c:v>
                </c:pt>
                <c:pt idx="23">
                  <c:v>1.4383057090239411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'Vista Alegre Atlantis'!$C$45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'Vista Alegre Atlantis'!$H$45:$AE$45</c:f>
              <c:numCache>
                <c:formatCode>0.0</c:formatCode>
                <c:ptCount val="24"/>
                <c:pt idx="0">
                  <c:v>1.4686561026364779</c:v>
                </c:pt>
                <c:pt idx="1">
                  <c:v>1.909689628614623</c:v>
                </c:pt>
                <c:pt idx="2">
                  <c:v>2.2097680146538563</c:v>
                </c:pt>
                <c:pt idx="3">
                  <c:v>4.079145599802704</c:v>
                </c:pt>
                <c:pt idx="4">
                  <c:v>4.3705220759561785</c:v>
                </c:pt>
                <c:pt idx="5">
                  <c:v>14.141657940533724</c:v>
                </c:pt>
                <c:pt idx="6">
                  <c:v>22.142921096810298</c:v>
                </c:pt>
                <c:pt idx="7">
                  <c:v>-11.837561429140656</c:v>
                </c:pt>
                <c:pt idx="8">
                  <c:v>129.84600389863547</c:v>
                </c:pt>
                <c:pt idx="9">
                  <c:v>-12.335968003047329</c:v>
                </c:pt>
                <c:pt idx="10">
                  <c:v>-4.915969080611263</c:v>
                </c:pt>
                <c:pt idx="11">
                  <c:v>-3.3228557611992788</c:v>
                </c:pt>
                <c:pt idx="12">
                  <c:v>3.202129360232759</c:v>
                </c:pt>
                <c:pt idx="13">
                  <c:v>2.9303261457144569</c:v>
                </c:pt>
                <c:pt idx="14">
                  <c:v>3.2829092103102937</c:v>
                </c:pt>
                <c:pt idx="15">
                  <c:v>4.2572148254767903</c:v>
                </c:pt>
                <c:pt idx="16">
                  <c:v>4.8485915492957741</c:v>
                </c:pt>
                <c:pt idx="17">
                  <c:v>5.0072727272727269</c:v>
                </c:pt>
                <c:pt idx="18">
                  <c:v>4.6870967741935488</c:v>
                </c:pt>
                <c:pt idx="19">
                  <c:v>1.7594167679222359</c:v>
                </c:pt>
                <c:pt idx="20">
                  <c:v>1.9292929292929293</c:v>
                </c:pt>
                <c:pt idx="21">
                  <c:v>2.2743732590529251</c:v>
                </c:pt>
                <c:pt idx="22">
                  <c:v>2.6370597243491578</c:v>
                </c:pt>
                <c:pt idx="23">
                  <c:v>2.5068702290076335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'Toyota Caetano'!$C$26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'Toyota Caetano'!$D$26:$AA$26</c:f>
              <c:numCache>
                <c:formatCode>#,##0</c:formatCode>
                <c:ptCount val="24"/>
                <c:pt idx="0">
                  <c:v>161</c:v>
                </c:pt>
                <c:pt idx="1">
                  <c:v>126.35</c:v>
                </c:pt>
                <c:pt idx="2">
                  <c:v>106.4</c:v>
                </c:pt>
                <c:pt idx="3">
                  <c:v>101.5</c:v>
                </c:pt>
                <c:pt idx="4">
                  <c:v>105</c:v>
                </c:pt>
                <c:pt idx="5">
                  <c:v>118.65</c:v>
                </c:pt>
                <c:pt idx="6">
                  <c:v>126</c:v>
                </c:pt>
                <c:pt idx="7">
                  <c:v>138.6</c:v>
                </c:pt>
                <c:pt idx="8">
                  <c:v>206.5</c:v>
                </c:pt>
                <c:pt idx="9">
                  <c:v>314.65000000000003</c:v>
                </c:pt>
                <c:pt idx="10">
                  <c:v>269.85000000000002</c:v>
                </c:pt>
                <c:pt idx="11">
                  <c:v>145.6</c:v>
                </c:pt>
                <c:pt idx="12">
                  <c:v>87.15</c:v>
                </c:pt>
                <c:pt idx="13">
                  <c:v>140</c:v>
                </c:pt>
                <c:pt idx="14">
                  <c:v>33.6</c:v>
                </c:pt>
                <c:pt idx="15">
                  <c:v>27.3</c:v>
                </c:pt>
                <c:pt idx="16">
                  <c:v>31.85</c:v>
                </c:pt>
                <c:pt idx="17">
                  <c:v>43.05</c:v>
                </c:pt>
                <c:pt idx="18">
                  <c:v>38.150000000000006</c:v>
                </c:pt>
                <c:pt idx="19">
                  <c:v>92.75</c:v>
                </c:pt>
                <c:pt idx="20">
                  <c:v>96.6</c:v>
                </c:pt>
                <c:pt idx="21">
                  <c:v>121.1</c:v>
                </c:pt>
                <c:pt idx="22">
                  <c:v>105</c:v>
                </c:pt>
                <c:pt idx="23">
                  <c:v>100.8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'Toyota Caetano'!$C$5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'Toyota Caetano'!$D$3:$AA$3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'Toyota Caetano'!$D$5:$AA$5</c:f>
              <c:numCache>
                <c:formatCode>#,##0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'Toyota Caetano'!$C$6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'Toyota Caetano'!$D$3:$AA$3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'Toyota Caetano'!$D$6:$AA$6</c:f>
              <c:numCache>
                <c:formatCode>#,##0</c:formatCode>
                <c:ptCount val="24"/>
                <c:pt idx="0">
                  <c:v>462.22199999999998</c:v>
                </c:pt>
                <c:pt idx="1">
                  <c:v>496.562928</c:v>
                </c:pt>
                <c:pt idx="2">
                  <c:v>501.60608200000001</c:v>
                </c:pt>
                <c:pt idx="3">
                  <c:v>449.17142999999999</c:v>
                </c:pt>
                <c:pt idx="4">
                  <c:v>489.29401899999999</c:v>
                </c:pt>
                <c:pt idx="5">
                  <c:v>474.44135399999999</c:v>
                </c:pt>
                <c:pt idx="6">
                  <c:v>527.72053200000005</c:v>
                </c:pt>
                <c:pt idx="7">
                  <c:v>563.434617</c:v>
                </c:pt>
                <c:pt idx="8">
                  <c:v>484.69321600000001</c:v>
                </c:pt>
                <c:pt idx="9">
                  <c:v>545.52980000000002</c:v>
                </c:pt>
                <c:pt idx="10">
                  <c:v>535.37813400000005</c:v>
                </c:pt>
                <c:pt idx="11">
                  <c:v>399.12491199999999</c:v>
                </c:pt>
                <c:pt idx="12">
                  <c:v>426.3</c:v>
                </c:pt>
                <c:pt idx="13">
                  <c:v>293.24</c:v>
                </c:pt>
                <c:pt idx="14">
                  <c:v>216.3</c:v>
                </c:pt>
                <c:pt idx="15">
                  <c:v>222.9</c:v>
                </c:pt>
                <c:pt idx="16">
                  <c:v>271.60000000000002</c:v>
                </c:pt>
                <c:pt idx="17">
                  <c:v>319.3</c:v>
                </c:pt>
                <c:pt idx="18">
                  <c:v>337</c:v>
                </c:pt>
                <c:pt idx="19">
                  <c:v>390</c:v>
                </c:pt>
                <c:pt idx="20">
                  <c:v>446.9</c:v>
                </c:pt>
                <c:pt idx="21">
                  <c:v>465.1</c:v>
                </c:pt>
                <c:pt idx="22">
                  <c:v>357.8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'Toyota Caetano'!$C$27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'Toyota Caetano'!$D$3:$AA$3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'Toyota Caetano'!$D$27:$AA$27</c:f>
              <c:numCache>
                <c:formatCode>0.0</c:formatCode>
                <c:ptCount val="24"/>
                <c:pt idx="0">
                  <c:v>0.34831747515263228</c:v>
                </c:pt>
                <c:pt idx="1">
                  <c:v>0.25444911989080266</c:v>
                </c:pt>
                <c:pt idx="2">
                  <c:v>0.21211864014041201</c:v>
                </c:pt>
                <c:pt idx="3">
                  <c:v>0.22597162958472225</c:v>
                </c:pt>
                <c:pt idx="4">
                  <c:v>0.21459489779702376</c:v>
                </c:pt>
                <c:pt idx="5">
                  <c:v>0.25008359621197779</c:v>
                </c:pt>
                <c:pt idx="6">
                  <c:v>0.23876273966918535</c:v>
                </c:pt>
                <c:pt idx="7">
                  <c:v>0.24599127532840248</c:v>
                </c:pt>
                <c:pt idx="8">
                  <c:v>0.42604268676209406</c:v>
                </c:pt>
                <c:pt idx="9">
                  <c:v>0.57677875709081339</c:v>
                </c:pt>
                <c:pt idx="10">
                  <c:v>0.5040362742943103</c:v>
                </c:pt>
                <c:pt idx="11">
                  <c:v>0.36479807604692938</c:v>
                </c:pt>
                <c:pt idx="12">
                  <c:v>0.20443349753694581</c:v>
                </c:pt>
                <c:pt idx="13">
                  <c:v>0.47742463511117172</c:v>
                </c:pt>
                <c:pt idx="14">
                  <c:v>0.1553398058252427</c:v>
                </c:pt>
                <c:pt idx="15">
                  <c:v>0.1224764468371467</c:v>
                </c:pt>
                <c:pt idx="16">
                  <c:v>0.1172680412371134</c:v>
                </c:pt>
                <c:pt idx="17">
                  <c:v>0.13482618227372375</c:v>
                </c:pt>
                <c:pt idx="18">
                  <c:v>0.11320474777448072</c:v>
                </c:pt>
                <c:pt idx="19">
                  <c:v>0.23782051282051281</c:v>
                </c:pt>
                <c:pt idx="20">
                  <c:v>0.21615573953904677</c:v>
                </c:pt>
                <c:pt idx="21">
                  <c:v>0.26037411309395825</c:v>
                </c:pt>
                <c:pt idx="22">
                  <c:v>0.29346003353828953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'Toyota Caetano'!$C$7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'Toyota Caetano'!$D$3:$AA$3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'Toyota Caetano'!$D$7:$AA$7</c:f>
              <c:numCache>
                <c:formatCode>#,##0</c:formatCode>
                <c:ptCount val="24"/>
                <c:pt idx="0">
                  <c:v>35</c:v>
                </c:pt>
                <c:pt idx="1">
                  <c:v>26.6</c:v>
                </c:pt>
                <c:pt idx="2">
                  <c:v>25.64</c:v>
                </c:pt>
                <c:pt idx="3">
                  <c:v>21.54</c:v>
                </c:pt>
                <c:pt idx="4">
                  <c:v>28.029118</c:v>
                </c:pt>
                <c:pt idx="5">
                  <c:v>24.918261000000001</c:v>
                </c:pt>
                <c:pt idx="6">
                  <c:v>29.66</c:v>
                </c:pt>
                <c:pt idx="7">
                  <c:v>33.64</c:v>
                </c:pt>
                <c:pt idx="8">
                  <c:v>41.861199999999997</c:v>
                </c:pt>
                <c:pt idx="9">
                  <c:v>35.55274</c:v>
                </c:pt>
                <c:pt idx="10">
                  <c:v>28.3718</c:v>
                </c:pt>
                <c:pt idx="11">
                  <c:v>33</c:v>
                </c:pt>
                <c:pt idx="12">
                  <c:v>31.137</c:v>
                </c:pt>
                <c:pt idx="13">
                  <c:v>15.644</c:v>
                </c:pt>
                <c:pt idx="14">
                  <c:v>15.226725</c:v>
                </c:pt>
                <c:pt idx="15">
                  <c:v>15.38</c:v>
                </c:pt>
                <c:pt idx="16">
                  <c:v>18.326000000000001</c:v>
                </c:pt>
                <c:pt idx="17">
                  <c:v>23.931999999999999</c:v>
                </c:pt>
                <c:pt idx="18">
                  <c:v>25.106000000000002</c:v>
                </c:pt>
                <c:pt idx="19">
                  <c:v>34.04</c:v>
                </c:pt>
                <c:pt idx="20">
                  <c:v>42.5</c:v>
                </c:pt>
                <c:pt idx="21">
                  <c:v>43.5</c:v>
                </c:pt>
                <c:pt idx="2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'Toyota Caetano'!$C$28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'Toyota Caetano'!$D$28:$AA$28</c:f>
              <c:numCache>
                <c:formatCode>0.0</c:formatCode>
                <c:ptCount val="24"/>
                <c:pt idx="0">
                  <c:v>4.5999999999999996</c:v>
                </c:pt>
                <c:pt idx="1">
                  <c:v>4.7499999999999991</c:v>
                </c:pt>
                <c:pt idx="2">
                  <c:v>4.1497659906396258</c:v>
                </c:pt>
                <c:pt idx="3">
                  <c:v>4.7121634168987931</c:v>
                </c:pt>
                <c:pt idx="4">
                  <c:v>3.7461043190870296</c:v>
                </c:pt>
                <c:pt idx="5">
                  <c:v>4.7615682330319924</c:v>
                </c:pt>
                <c:pt idx="6">
                  <c:v>4.2481456507080244</c:v>
                </c:pt>
                <c:pt idx="7">
                  <c:v>4.1200951248513675</c:v>
                </c:pt>
                <c:pt idx="8">
                  <c:v>4.9329689545450206</c:v>
                </c:pt>
                <c:pt idx="9">
                  <c:v>8.8502320777526577</c:v>
                </c:pt>
                <c:pt idx="10">
                  <c:v>9.5112047878527282</c:v>
                </c:pt>
                <c:pt idx="11">
                  <c:v>4.4121212121212121</c:v>
                </c:pt>
                <c:pt idx="12">
                  <c:v>2.798920897967049</c:v>
                </c:pt>
                <c:pt idx="13">
                  <c:v>8.9491178726668377</c:v>
                </c:pt>
                <c:pt idx="14">
                  <c:v>2.2066465375844118</c:v>
                </c:pt>
                <c:pt idx="15">
                  <c:v>1.7750325097529258</c:v>
                </c:pt>
                <c:pt idx="16">
                  <c:v>1.7379679144385027</c:v>
                </c:pt>
                <c:pt idx="17">
                  <c:v>1.7988467324084907</c:v>
                </c:pt>
                <c:pt idx="18">
                  <c:v>1.5195570779893255</c:v>
                </c:pt>
                <c:pt idx="19">
                  <c:v>2.7247356051703879</c:v>
                </c:pt>
                <c:pt idx="20">
                  <c:v>2.2729411764705882</c:v>
                </c:pt>
                <c:pt idx="21">
                  <c:v>2.7839080459770114</c:v>
                </c:pt>
                <c:pt idx="22">
                  <c:v>3.595890410958904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202631578947367E-2"/>
          <c:y val="0.14435305555555553"/>
          <c:w val="0.90537339181286547"/>
          <c:h val="0.7773363888888889"/>
        </c:manualLayout>
      </c:layout>
      <c:lineChart>
        <c:grouping val="standard"/>
        <c:varyColors val="0"/>
        <c:ser>
          <c:idx val="0"/>
          <c:order val="0"/>
          <c:tx>
            <c:strRef>
              <c:f>Cofina!$C$32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C-4E77-B237-75DDD819D4FB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C-4E77-B237-75DDD819D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Cofina!$D$32:$AA$32</c:f>
              <c:numCache>
                <c:formatCode>0.0%</c:formatCode>
                <c:ptCount val="24"/>
                <c:pt idx="0">
                  <c:v>0.20927730853216492</c:v>
                </c:pt>
                <c:pt idx="1">
                  <c:v>0.2119258670752413</c:v>
                </c:pt>
                <c:pt idx="2">
                  <c:v>0.15768808116395969</c:v>
                </c:pt>
                <c:pt idx="3">
                  <c:v>0.15529915280345338</c:v>
                </c:pt>
                <c:pt idx="4">
                  <c:v>0.18322767714917607</c:v>
                </c:pt>
                <c:pt idx="5">
                  <c:v>0.17397240191317412</c:v>
                </c:pt>
                <c:pt idx="6">
                  <c:v>0.14194910486564022</c:v>
                </c:pt>
                <c:pt idx="7">
                  <c:v>0.12506086410969725</c:v>
                </c:pt>
                <c:pt idx="8">
                  <c:v>0.13541507996953542</c:v>
                </c:pt>
                <c:pt idx="9">
                  <c:v>0.15263464555702533</c:v>
                </c:pt>
                <c:pt idx="10">
                  <c:v>0.15081127241673786</c:v>
                </c:pt>
                <c:pt idx="11">
                  <c:v>0.17322381034402631</c:v>
                </c:pt>
                <c:pt idx="12">
                  <c:v>0.18706810650909714</c:v>
                </c:pt>
                <c:pt idx="13">
                  <c:v>0.18310045533055672</c:v>
                </c:pt>
                <c:pt idx="14">
                  <c:v>0.14951584481409161</c:v>
                </c:pt>
                <c:pt idx="15">
                  <c:v>0.16416574098215783</c:v>
                </c:pt>
                <c:pt idx="16">
                  <c:v>0.17460369294252587</c:v>
                </c:pt>
                <c:pt idx="17">
                  <c:v>0.13031658297546794</c:v>
                </c:pt>
                <c:pt idx="18">
                  <c:v>0.14558864036033861</c:v>
                </c:pt>
                <c:pt idx="19">
                  <c:v>0.12021658872873052</c:v>
                </c:pt>
                <c:pt idx="20">
                  <c:v>0.16992530755711774</c:v>
                </c:pt>
                <c:pt idx="21">
                  <c:v>0.16614975631369075</c:v>
                </c:pt>
                <c:pt idx="22">
                  <c:v>0.14053751399776035</c:v>
                </c:pt>
                <c:pt idx="23">
                  <c:v>0.1891891891891892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Cofina!$C$33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20"/>
              <c:layout>
                <c:manualLayout>
                  <c:x val="-5.5701754385964908E-3"/>
                  <c:y val="2.469444444444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C-4E77-B237-75DDD819D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Cofina!$D$33:$AA$33</c:f>
              <c:numCache>
                <c:formatCode>0.0%</c:formatCode>
                <c:ptCount val="24"/>
                <c:pt idx="0">
                  <c:v>0.11807471144417173</c:v>
                </c:pt>
                <c:pt idx="1">
                  <c:v>0.11833848213161334</c:v>
                </c:pt>
                <c:pt idx="2">
                  <c:v>0.17553888726679726</c:v>
                </c:pt>
                <c:pt idx="3">
                  <c:v>0.12173388657350695</c:v>
                </c:pt>
                <c:pt idx="4">
                  <c:v>9.6055553759990392E-2</c:v>
                </c:pt>
                <c:pt idx="5">
                  <c:v>8.0906741923069875E-2</c:v>
                </c:pt>
                <c:pt idx="6">
                  <c:v>0.10378062467054891</c:v>
                </c:pt>
                <c:pt idx="7">
                  <c:v>0.10278001131326929</c:v>
                </c:pt>
                <c:pt idx="8">
                  <c:v>0.11165848438690022</c:v>
                </c:pt>
                <c:pt idx="9">
                  <c:v>0.12578075220819254</c:v>
                </c:pt>
                <c:pt idx="10">
                  <c:v>0.12594336020217592</c:v>
                </c:pt>
                <c:pt idx="11">
                  <c:v>0.1510598470767085</c:v>
                </c:pt>
                <c:pt idx="12">
                  <c:v>0.16051994369763517</c:v>
                </c:pt>
                <c:pt idx="13">
                  <c:v>0.15655434442820018</c:v>
                </c:pt>
                <c:pt idx="14">
                  <c:v>0.12152609300671595</c:v>
                </c:pt>
                <c:pt idx="15">
                  <c:v>0.12819612876091163</c:v>
                </c:pt>
                <c:pt idx="16">
                  <c:v>0.14701241460604217</c:v>
                </c:pt>
                <c:pt idx="17">
                  <c:v>0.10129765228258747</c:v>
                </c:pt>
                <c:pt idx="18">
                  <c:v>0.12342637365549421</c:v>
                </c:pt>
                <c:pt idx="19">
                  <c:v>0.10361614437860456</c:v>
                </c:pt>
                <c:pt idx="20">
                  <c:v>0.14982425307557118</c:v>
                </c:pt>
                <c:pt idx="21">
                  <c:v>0.14665485157288435</c:v>
                </c:pt>
                <c:pt idx="22">
                  <c:v>9.2763157894736839E-2</c:v>
                </c:pt>
                <c:pt idx="23">
                  <c:v>0.13513513513513514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Cofina!$C$35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C-4E77-B237-75DDD819D4FB}"/>
                </c:ext>
              </c:extLst>
            </c:dLbl>
            <c:dLbl>
              <c:idx val="20"/>
              <c:layout>
                <c:manualLayout>
                  <c:x val="6.4891812865497077E-3"/>
                  <c:y val="7.797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C-4E77-B237-75DDD819D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Cofina!$D$35:$AA$35</c:f>
              <c:numCache>
                <c:formatCode>0.0%</c:formatCode>
                <c:ptCount val="24"/>
                <c:pt idx="0">
                  <c:v>2.4766391520216292E-2</c:v>
                </c:pt>
                <c:pt idx="1">
                  <c:v>4.102011161499413E-2</c:v>
                </c:pt>
                <c:pt idx="2">
                  <c:v>3.7964037464247015E-2</c:v>
                </c:pt>
                <c:pt idx="3">
                  <c:v>3.5006901844224392E-2</c:v>
                </c:pt>
                <c:pt idx="4">
                  <c:v>3.9458313902753214E-2</c:v>
                </c:pt>
                <c:pt idx="5">
                  <c:v>4.5039308032032835E-2</c:v>
                </c:pt>
                <c:pt idx="6">
                  <c:v>2.7184215887034603E-2</c:v>
                </c:pt>
                <c:pt idx="7">
                  <c:v>9.6427088938308758E-2</c:v>
                </c:pt>
                <c:pt idx="8">
                  <c:v>7.3892734196496571E-2</c:v>
                </c:pt>
                <c:pt idx="9">
                  <c:v>7.5266513089226744E-2</c:v>
                </c:pt>
                <c:pt idx="10">
                  <c:v>-0.50872227197933817</c:v>
                </c:pt>
                <c:pt idx="11">
                  <c:v>9.1534479354147158E-2</c:v>
                </c:pt>
                <c:pt idx="12">
                  <c:v>3.8516567521792881E-2</c:v>
                </c:pt>
                <c:pt idx="13">
                  <c:v>3.907612419598791E-2</c:v>
                </c:pt>
                <c:pt idx="14">
                  <c:v>3.7475127352367875E-2</c:v>
                </c:pt>
                <c:pt idx="15">
                  <c:v>4.4599289219199083E-2</c:v>
                </c:pt>
                <c:pt idx="16">
                  <c:v>5.8903902968274031E-2</c:v>
                </c:pt>
                <c:pt idx="17">
                  <c:v>5.0272588230362729E-2</c:v>
                </c:pt>
                <c:pt idx="18">
                  <c:v>4.3362387226555964E-2</c:v>
                </c:pt>
                <c:pt idx="19">
                  <c:v>5.5647018704270045E-2</c:v>
                </c:pt>
                <c:pt idx="20">
                  <c:v>8.8752196836555358E-2</c:v>
                </c:pt>
                <c:pt idx="21">
                  <c:v>8.4071776694727512E-2</c:v>
                </c:pt>
                <c:pt idx="22">
                  <c:v>2.2242441209406494E-2</c:v>
                </c:pt>
                <c:pt idx="23">
                  <c:v>6.7567567567567571E-2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'Toyota Caetano'!$C$32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A5-461E-A6F1-51C2DEEF368D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5-461E-A6F1-51C2DEEF3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'Toyota Caetano'!$D$3:$AA$3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'Toyota Caetano'!$D$32:$AA$32</c:f>
              <c:numCache>
                <c:formatCode>0.0%</c:formatCode>
                <c:ptCount val="24"/>
                <c:pt idx="0">
                  <c:v>7.5721190250572237E-2</c:v>
                </c:pt>
                <c:pt idx="1">
                  <c:v>5.356823576648477E-2</c:v>
                </c:pt>
                <c:pt idx="2">
                  <c:v>5.1115807642858682E-2</c:v>
                </c:pt>
                <c:pt idx="3">
                  <c:v>4.7954964544383423E-2</c:v>
                </c:pt>
                <c:pt idx="4">
                  <c:v>5.7284816310006849E-2</c:v>
                </c:pt>
                <c:pt idx="5">
                  <c:v>5.2521266938294765E-2</c:v>
                </c:pt>
                <c:pt idx="6">
                  <c:v>5.6203990941174897E-2</c:v>
                </c:pt>
                <c:pt idx="7">
                  <c:v>5.9705241717514138E-2</c:v>
                </c:pt>
                <c:pt idx="8">
                  <c:v>8.6366383143270553E-2</c:v>
                </c:pt>
                <c:pt idx="9">
                  <c:v>6.5171031903298399E-2</c:v>
                </c:pt>
                <c:pt idx="10">
                  <c:v>5.2993946144240543E-2</c:v>
                </c:pt>
                <c:pt idx="11">
                  <c:v>8.2680882620526586E-2</c:v>
                </c:pt>
                <c:pt idx="12">
                  <c:v>7.3040112596762838E-2</c:v>
                </c:pt>
                <c:pt idx="13">
                  <c:v>5.3348792797708364E-2</c:v>
                </c:pt>
                <c:pt idx="14">
                  <c:v>7.0396324549237166E-2</c:v>
                </c:pt>
                <c:pt idx="15">
                  <c:v>6.8999551368326612E-2</c:v>
                </c:pt>
                <c:pt idx="16">
                  <c:v>6.747422680412371E-2</c:v>
                </c:pt>
                <c:pt idx="17">
                  <c:v>7.4951456310679607E-2</c:v>
                </c:pt>
                <c:pt idx="18">
                  <c:v>7.4498516320474786E-2</c:v>
                </c:pt>
                <c:pt idx="19">
                  <c:v>8.7282051282051284E-2</c:v>
                </c:pt>
                <c:pt idx="20">
                  <c:v>9.5099574848959506E-2</c:v>
                </c:pt>
                <c:pt idx="21">
                  <c:v>9.3528273489572128E-2</c:v>
                </c:pt>
                <c:pt idx="22">
                  <c:v>8.1609837898267187E-2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'Toyota Caetano'!$C$33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A5-461E-A6F1-51C2DEEF368D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A5-461E-A6F1-51C2DEEF3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'Toyota Caetano'!$D$3:$AA$3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'Toyota Caetano'!$D$33:$AA$33</c:f>
              <c:numCache>
                <c:formatCode>0.0%</c:formatCode>
                <c:ptCount val="24"/>
                <c:pt idx="0">
                  <c:v>5.4605795483555521E-2</c:v>
                </c:pt>
                <c:pt idx="1">
                  <c:v>3.3107586315827428E-2</c:v>
                </c:pt>
                <c:pt idx="2">
                  <c:v>3.5740395986665889E-2</c:v>
                </c:pt>
                <c:pt idx="3">
                  <c:v>3.2336874141794821E-2</c:v>
                </c:pt>
                <c:pt idx="4">
                  <c:v>6.4429788176094587E-3</c:v>
                </c:pt>
                <c:pt idx="5">
                  <c:v>-7.8086827144498881E-3</c:v>
                </c:pt>
                <c:pt idx="6">
                  <c:v>1.6767308572333505E-2</c:v>
                </c:pt>
                <c:pt idx="7">
                  <c:v>2.4487142933214554E-2</c:v>
                </c:pt>
                <c:pt idx="8">
                  <c:v>5.1286387305243403E-2</c:v>
                </c:pt>
                <c:pt idx="9">
                  <c:v>2.942036347051985E-2</c:v>
                </c:pt>
                <c:pt idx="10">
                  <c:v>1.4937563736960539E-2</c:v>
                </c:pt>
                <c:pt idx="11">
                  <c:v>3.6292923755157636E-2</c:v>
                </c:pt>
                <c:pt idx="12">
                  <c:v>3.0809019469856907E-2</c:v>
                </c:pt>
                <c:pt idx="13">
                  <c:v>-9.6558484517801114E-3</c:v>
                </c:pt>
                <c:pt idx="14">
                  <c:v>-4.7916828478964399E-3</c:v>
                </c:pt>
                <c:pt idx="15">
                  <c:v>9.8852534768954677E-3</c:v>
                </c:pt>
                <c:pt idx="16">
                  <c:v>2.2940486008836521E-2</c:v>
                </c:pt>
                <c:pt idx="17">
                  <c:v>3.2163426244910739E-2</c:v>
                </c:pt>
                <c:pt idx="18">
                  <c:v>2.8382688427299702E-2</c:v>
                </c:pt>
                <c:pt idx="19">
                  <c:v>3.9560364102564104E-2</c:v>
                </c:pt>
                <c:pt idx="20">
                  <c:v>4.2738867755650042E-2</c:v>
                </c:pt>
                <c:pt idx="21">
                  <c:v>3.9346377123199314E-2</c:v>
                </c:pt>
                <c:pt idx="22">
                  <c:v>2.4874231414197878E-2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'Toyota Caetano'!$C$35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5-461E-A6F1-51C2DEEF368D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5-461E-A6F1-51C2DEEF3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'Toyota Caetano'!$D$3:$AA$3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'Toyota Caetano'!$D$35:$AA$35</c:f>
              <c:numCache>
                <c:formatCode>0.0%</c:formatCode>
                <c:ptCount val="24"/>
                <c:pt idx="0">
                  <c:v>3.238703480145904E-2</c:v>
                </c:pt>
                <c:pt idx="1">
                  <c:v>2.4770274433374536E-2</c:v>
                </c:pt>
                <c:pt idx="2">
                  <c:v>1.1655189619491095E-2</c:v>
                </c:pt>
                <c:pt idx="3">
                  <c:v>1.0525331052333404E-2</c:v>
                </c:pt>
                <c:pt idx="4">
                  <c:v>2.3094498524822557E-3</c:v>
                </c:pt>
                <c:pt idx="5">
                  <c:v>-1.6700093558876406E-2</c:v>
                </c:pt>
                <c:pt idx="6">
                  <c:v>9.4904891818762879E-3</c:v>
                </c:pt>
                <c:pt idx="7">
                  <c:v>8.4683099973603508E-3</c:v>
                </c:pt>
                <c:pt idx="8">
                  <c:v>3.0343513204855749E-2</c:v>
                </c:pt>
                <c:pt idx="9">
                  <c:v>1.7808918962813763E-2</c:v>
                </c:pt>
                <c:pt idx="10">
                  <c:v>3.3579873473129178E-3</c:v>
                </c:pt>
                <c:pt idx="11">
                  <c:v>2.6005415066649613E-2</c:v>
                </c:pt>
                <c:pt idx="12">
                  <c:v>2.7445460942997886E-2</c:v>
                </c:pt>
                <c:pt idx="13">
                  <c:v>-7.5023871231755558E-3</c:v>
                </c:pt>
                <c:pt idx="14">
                  <c:v>-1.340730466944059E-2</c:v>
                </c:pt>
                <c:pt idx="15">
                  <c:v>4.4863167339614181E-4</c:v>
                </c:pt>
                <c:pt idx="16">
                  <c:v>1.4727540500736375E-2</c:v>
                </c:pt>
                <c:pt idx="17">
                  <c:v>1.9104290635765735E-2</c:v>
                </c:pt>
                <c:pt idx="18">
                  <c:v>1.7804154302670624E-2</c:v>
                </c:pt>
                <c:pt idx="19">
                  <c:v>2.3846153846153847E-2</c:v>
                </c:pt>
                <c:pt idx="20">
                  <c:v>2.8641754307451334E-2</c:v>
                </c:pt>
                <c:pt idx="21">
                  <c:v>2.4940872930552568E-2</c:v>
                </c:pt>
                <c:pt idx="22">
                  <c:v>1.285634432643935E-2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'Toyota Caetano'!$C$12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'Toyota Caetano'!$D$3:$AA$3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'Toyota Caetano'!$D$12:$AA$12</c:f>
              <c:numCache>
                <c:formatCode>#,##0</c:formatCode>
                <c:ptCount val="24"/>
                <c:pt idx="0">
                  <c:v>14.97</c:v>
                </c:pt>
                <c:pt idx="1">
                  <c:v>12.3</c:v>
                </c:pt>
                <c:pt idx="2">
                  <c:v>5.8463139999999996</c:v>
                </c:pt>
                <c:pt idx="3">
                  <c:v>4.727678</c:v>
                </c:pt>
                <c:pt idx="4">
                  <c:v>1.1299999999999999</c:v>
                </c:pt>
                <c:pt idx="5">
                  <c:v>-7.9232149999999999</c:v>
                </c:pt>
                <c:pt idx="6">
                  <c:v>5.0083260000000003</c:v>
                </c:pt>
                <c:pt idx="7">
                  <c:v>4.7713390000000002</c:v>
                </c:pt>
                <c:pt idx="8">
                  <c:v>14.707295</c:v>
                </c:pt>
                <c:pt idx="9">
                  <c:v>9.7152960000000004</c:v>
                </c:pt>
                <c:pt idx="10">
                  <c:v>1.797793</c:v>
                </c:pt>
                <c:pt idx="11">
                  <c:v>10.379409000000001</c:v>
                </c:pt>
                <c:pt idx="12">
                  <c:v>11.7</c:v>
                </c:pt>
                <c:pt idx="13">
                  <c:v>-2.2000000000000002</c:v>
                </c:pt>
                <c:pt idx="14">
                  <c:v>-2.9</c:v>
                </c:pt>
                <c:pt idx="15">
                  <c:v>0.1</c:v>
                </c:pt>
                <c:pt idx="16">
                  <c:v>4</c:v>
                </c:pt>
                <c:pt idx="17">
                  <c:v>6.1</c:v>
                </c:pt>
                <c:pt idx="18">
                  <c:v>6</c:v>
                </c:pt>
                <c:pt idx="19">
                  <c:v>9.3000000000000007</c:v>
                </c:pt>
                <c:pt idx="20">
                  <c:v>12.8</c:v>
                </c:pt>
                <c:pt idx="21">
                  <c:v>11.6</c:v>
                </c:pt>
                <c:pt idx="2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'Toyota Caetano'!$C$36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val>
            <c:numRef>
              <c:f>'Toyota Caetano'!$D$36:$AA$36</c:f>
              <c:numCache>
                <c:formatCode>0.0</c:formatCode>
                <c:ptCount val="24"/>
                <c:pt idx="0">
                  <c:v>10.754843019372077</c:v>
                </c:pt>
                <c:pt idx="1">
                  <c:v>10.272357723577235</c:v>
                </c:pt>
                <c:pt idx="2">
                  <c:v>18.199501429447686</c:v>
                </c:pt>
                <c:pt idx="3">
                  <c:v>21.469313265412747</c:v>
                </c:pt>
                <c:pt idx="4">
                  <c:v>92.920353982300895</c:v>
                </c:pt>
                <c:pt idx="5">
                  <c:v>0</c:v>
                </c:pt>
                <c:pt idx="6">
                  <c:v>25.158106720688707</c:v>
                </c:pt>
                <c:pt idx="7">
                  <c:v>29.048449502330474</c:v>
                </c:pt>
                <c:pt idx="8">
                  <c:v>14.040651255040441</c:v>
                </c:pt>
                <c:pt idx="9">
                  <c:v>32.387072920886816</c:v>
                </c:pt>
                <c:pt idx="10">
                  <c:v>150.10070681107337</c:v>
                </c:pt>
                <c:pt idx="11">
                  <c:v>14.027773642988727</c:v>
                </c:pt>
                <c:pt idx="12">
                  <c:v>7.4487179487179498</c:v>
                </c:pt>
                <c:pt idx="13">
                  <c:v>0</c:v>
                </c:pt>
                <c:pt idx="14">
                  <c:v>0</c:v>
                </c:pt>
                <c:pt idx="15">
                  <c:v>273</c:v>
                </c:pt>
                <c:pt idx="16">
                  <c:v>7.9625000000000004</c:v>
                </c:pt>
                <c:pt idx="17">
                  <c:v>7.057377049180328</c:v>
                </c:pt>
                <c:pt idx="18">
                  <c:v>6.3583333333333343</c:v>
                </c:pt>
                <c:pt idx="19">
                  <c:v>9.9731182795698921</c:v>
                </c:pt>
                <c:pt idx="20">
                  <c:v>7.5468749999999991</c:v>
                </c:pt>
                <c:pt idx="21">
                  <c:v>10.439655172413794</c:v>
                </c:pt>
                <c:pt idx="22">
                  <c:v>22.826086956521742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'Toyota Caetano'!$C$38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2-4661-9223-39044E2AEAE1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2-4661-9223-39044E2AE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'Toyota Caetano'!$D$3:$X$3</c:f>
              <c:numCache>
                <c:formatCode>General</c:formatCode>
                <c:ptCount val="21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numCache>
            </c:numRef>
          </c:cat>
          <c:val>
            <c:numRef>
              <c:f>'Toyota Caetano'!$D$38:$X$38</c:f>
              <c:numCache>
                <c:formatCode>0%</c:formatCode>
                <c:ptCount val="21"/>
                <c:pt idx="0">
                  <c:v>0.23008204193254328</c:v>
                </c:pt>
                <c:pt idx="1">
                  <c:v>0.15021929824561406</c:v>
                </c:pt>
                <c:pt idx="2">
                  <c:v>0.15666951765292292</c:v>
                </c:pt>
                <c:pt idx="3">
                  <c:v>0.12633411532545682</c:v>
                </c:pt>
                <c:pt idx="4">
                  <c:v>2.5061502819995519E-2</c:v>
                </c:pt>
                <c:pt idx="5">
                  <c:v>-3.2317044836582529E-2</c:v>
                </c:pt>
                <c:pt idx="6">
                  <c:v>7.409437473708122E-2</c:v>
                </c:pt>
                <c:pt idx="7">
                  <c:v>0.11135256185473255</c:v>
                </c:pt>
                <c:pt idx="8">
                  <c:v>0.17906497981624384</c:v>
                </c:pt>
                <c:pt idx="9">
                  <c:v>0.11211329244706007</c:v>
                </c:pt>
                <c:pt idx="10">
                  <c:v>6.184664973923315E-2</c:v>
                </c:pt>
                <c:pt idx="11">
                  <c:v>0.10525017632992641</c:v>
                </c:pt>
                <c:pt idx="12">
                  <c:v>9.3262094784401978E-2</c:v>
                </c:pt>
                <c:pt idx="13">
                  <c:v>-2.1430511978480185E-2</c:v>
                </c:pt>
                <c:pt idx="14">
                  <c:v>-8.0197924113511003E-3</c:v>
                </c:pt>
                <c:pt idx="15">
                  <c:v>1.7028525233280595E-2</c:v>
                </c:pt>
                <c:pt idx="16">
                  <c:v>4.8829435736677113E-2</c:v>
                </c:pt>
                <c:pt idx="17">
                  <c:v>8.0232671874999995E-2</c:v>
                </c:pt>
                <c:pt idx="18">
                  <c:v>7.5672199367088605E-2</c:v>
                </c:pt>
                <c:pt idx="19">
                  <c:v>0.11804546289211937</c:v>
                </c:pt>
                <c:pt idx="20">
                  <c:v>0.1400293255131965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'Toyota Caetano'!$C$39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2-4661-9223-39044E2AEAE1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2-4661-9223-39044E2AE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'Toyota Caetano'!$D$3:$X$3</c:f>
              <c:numCache>
                <c:formatCode>General</c:formatCode>
                <c:ptCount val="21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numCache>
            </c:numRef>
          </c:cat>
          <c:val>
            <c:numRef>
              <c:f>'Toyota Caetano'!$D$39:$X$39</c:f>
              <c:numCache>
                <c:formatCode>0%</c:formatCode>
                <c:ptCount val="21"/>
                <c:pt idx="0">
                  <c:v>0.13646308113035552</c:v>
                </c:pt>
                <c:pt idx="1">
                  <c:v>0.11239035087719298</c:v>
                </c:pt>
                <c:pt idx="2">
                  <c:v>5.1091010198104053E-2</c:v>
                </c:pt>
                <c:pt idx="3">
                  <c:v>4.112049857303543E-2</c:v>
                </c:pt>
                <c:pt idx="4">
                  <c:v>8.9831560259726086E-3</c:v>
                </c:pt>
                <c:pt idx="5">
                  <c:v>-6.9115072548488476E-2</c:v>
                </c:pt>
                <c:pt idx="6">
                  <c:v>4.193826688681819E-2</c:v>
                </c:pt>
                <c:pt idx="7">
                  <c:v>3.850869884485663E-2</c:v>
                </c:pt>
                <c:pt idx="8">
                  <c:v>0.10594352351712476</c:v>
                </c:pt>
                <c:pt idx="9">
                  <c:v>6.7865121443676499E-2</c:v>
                </c:pt>
                <c:pt idx="10">
                  <c:v>1.3903222168965083E-2</c:v>
                </c:pt>
                <c:pt idx="11">
                  <c:v>7.5416203438523677E-2</c:v>
                </c:pt>
                <c:pt idx="12">
                  <c:v>8.3080254545970456E-2</c:v>
                </c:pt>
                <c:pt idx="13">
                  <c:v>-1.6651048109684086E-2</c:v>
                </c:pt>
                <c:pt idx="14">
                  <c:v>-2.2439673838566973E-2</c:v>
                </c:pt>
                <c:pt idx="15">
                  <c:v>7.7282143434468081E-4</c:v>
                </c:pt>
                <c:pt idx="16">
                  <c:v>3.1347962382445145E-2</c:v>
                </c:pt>
                <c:pt idx="17">
                  <c:v>4.7656249999999997E-2</c:v>
                </c:pt>
                <c:pt idx="18">
                  <c:v>4.7468354430379743E-2</c:v>
                </c:pt>
                <c:pt idx="19">
                  <c:v>7.1155317521040568E-2</c:v>
                </c:pt>
                <c:pt idx="20">
                  <c:v>9.3841642228739003E-2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'Toyota Caetano'!$C$37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'Toyota Caetano'!$D$3:$AA$3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'Toyota Caetano'!$D$37:$AA$37</c:f>
              <c:numCache>
                <c:formatCode>0.0</c:formatCode>
                <c:ptCount val="24"/>
                <c:pt idx="0">
                  <c:v>1.4676390154968095</c:v>
                </c:pt>
                <c:pt idx="1">
                  <c:v>1.1545138888888888</c:v>
                </c:pt>
                <c:pt idx="2">
                  <c:v>0.92983091313232102</c:v>
                </c:pt>
                <c:pt idx="3">
                  <c:v>0.88282886549445549</c:v>
                </c:pt>
                <c:pt idx="4">
                  <c:v>0.83471803781161413</c:v>
                </c:pt>
                <c:pt idx="5">
                  <c:v>1.0349969498338942</c:v>
                </c:pt>
                <c:pt idx="6">
                  <c:v>1.0550873940192975</c:v>
                </c:pt>
                <c:pt idx="7">
                  <c:v>1.1186179937952696</c:v>
                </c:pt>
                <c:pt idx="8">
                  <c:v>1.4875160664341243</c:v>
                </c:pt>
                <c:pt idx="9">
                  <c:v>2.1979526369811904</c:v>
                </c:pt>
                <c:pt idx="10">
                  <c:v>2.0868834745130438</c:v>
                </c:pt>
                <c:pt idx="11">
                  <c:v>1.0579214308491982</c:v>
                </c:pt>
                <c:pt idx="12">
                  <c:v>0.6188413832206261</c:v>
                </c:pt>
                <c:pt idx="13">
                  <c:v>1.0596121524344417</c:v>
                </c:pt>
                <c:pt idx="14">
                  <c:v>0.25999070378477601</c:v>
                </c:pt>
                <c:pt idx="15">
                  <c:v>0.21098025157609784</c:v>
                </c:pt>
                <c:pt idx="16">
                  <c:v>0.24960815047021945</c:v>
                </c:pt>
                <c:pt idx="17">
                  <c:v>0.33632812499999998</c:v>
                </c:pt>
                <c:pt idx="18">
                  <c:v>0.30181962025316461</c:v>
                </c:pt>
                <c:pt idx="19">
                  <c:v>0.7096403978576894</c:v>
                </c:pt>
                <c:pt idx="20">
                  <c:v>0.70821114369501459</c:v>
                </c:pt>
                <c:pt idx="21">
                  <c:v>0.85704175513092695</c:v>
                </c:pt>
                <c:pt idx="22">
                  <c:v>0.72065888812628698</c:v>
                </c:pt>
                <c:pt idx="23">
                  <c:v>0.67334669338677355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'Toyota Caetano'!$C$41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'Toyota Caetano'!$D$41:$X$41</c:f>
              <c:numCache>
                <c:formatCode>0.0</c:formatCode>
                <c:ptCount val="21"/>
                <c:pt idx="0">
                  <c:v>1.4339651718292494</c:v>
                </c:pt>
                <c:pt idx="1">
                  <c:v>1.5474830553651664</c:v>
                </c:pt>
                <c:pt idx="2">
                  <c:v>1.4103870657381941</c:v>
                </c:pt>
                <c:pt idx="3">
                  <c:v>1.2004651416007885</c:v>
                </c:pt>
                <c:pt idx="4">
                  <c:v>1.2835238727282208</c:v>
                </c:pt>
                <c:pt idx="5">
                  <c:v>1.1427578508874294</c:v>
                </c:pt>
                <c:pt idx="6">
                  <c:v>1.0655040574209822</c:v>
                </c:pt>
                <c:pt idx="7">
                  <c:v>1.0603145808891474</c:v>
                </c:pt>
                <c:pt idx="8">
                  <c:v>0.98399974775031229</c:v>
                </c:pt>
                <c:pt idx="9">
                  <c:v>1.0736716054831532</c:v>
                </c:pt>
                <c:pt idx="10">
                  <c:v>1.0648758285221953</c:v>
                </c:pt>
                <c:pt idx="11">
                  <c:v>1.2557501481462554</c:v>
                </c:pt>
                <c:pt idx="12">
                  <c:v>1.1977271449720681</c:v>
                </c:pt>
                <c:pt idx="13">
                  <c:v>1.2401553349619165</c:v>
                </c:pt>
                <c:pt idx="14">
                  <c:v>1.6216614526388677</c:v>
                </c:pt>
                <c:pt idx="15">
                  <c:v>1.8031458681840233</c:v>
                </c:pt>
                <c:pt idx="16">
                  <c:v>1.6703746528559906</c:v>
                </c:pt>
                <c:pt idx="17">
                  <c:v>1.5550152610837438</c:v>
                </c:pt>
                <c:pt idx="18">
                  <c:v>1.5684528653295129</c:v>
                </c:pt>
                <c:pt idx="19">
                  <c:v>1.3800147233047544</c:v>
                </c:pt>
                <c:pt idx="20">
                  <c:v>1.3983371126228268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'Toyota Caetano'!$C$45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'Toyota Caetano'!$D$45:$X$45</c:f>
              <c:numCache>
                <c:formatCode>0.0</c:formatCode>
                <c:ptCount val="21"/>
                <c:pt idx="0">
                  <c:v>1.4525979945305378</c:v>
                </c:pt>
                <c:pt idx="1">
                  <c:v>1.6273757309941521</c:v>
                </c:pt>
                <c:pt idx="2">
                  <c:v>1.6722083686058076</c:v>
                </c:pt>
                <c:pt idx="3">
                  <c:v>1.7560773417231357</c:v>
                </c:pt>
                <c:pt idx="4">
                  <c:v>2.0381086545315092</c:v>
                </c:pt>
                <c:pt idx="5">
                  <c:v>2.3734346630675813</c:v>
                </c:pt>
                <c:pt idx="6">
                  <c:v>2.1601658336123664</c:v>
                </c:pt>
                <c:pt idx="7">
                  <c:v>1.9434575245735999</c:v>
                </c:pt>
                <c:pt idx="8">
                  <c:v>1.477503246422776</c:v>
                </c:pt>
                <c:pt idx="9">
                  <c:v>1.3635479254369245</c:v>
                </c:pt>
                <c:pt idx="10">
                  <c:v>1.6497090338451821</c:v>
                </c:pt>
                <c:pt idx="11">
                  <c:v>1.1157656101829241</c:v>
                </c:pt>
                <c:pt idx="12">
                  <c:v>1.0675670691628065</c:v>
                </c:pt>
                <c:pt idx="13">
                  <c:v>0.97764358378540595</c:v>
                </c:pt>
                <c:pt idx="14">
                  <c:v>0.65578012338570735</c:v>
                </c:pt>
                <c:pt idx="15">
                  <c:v>0.56222759348575524</c:v>
                </c:pt>
                <c:pt idx="16">
                  <c:v>0.94749216300940442</c:v>
                </c:pt>
                <c:pt idx="17">
                  <c:v>1.07734375</c:v>
                </c:pt>
                <c:pt idx="18">
                  <c:v>1.1819620253164558</c:v>
                </c:pt>
                <c:pt idx="19">
                  <c:v>1.2838561591430759</c:v>
                </c:pt>
                <c:pt idx="20">
                  <c:v>1.346774193548387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Cofina!$C$12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Cofina!$D$12:$AA$12</c:f>
              <c:numCache>
                <c:formatCode>#,##0</c:formatCode>
                <c:ptCount val="24"/>
                <c:pt idx="0">
                  <c:v>2.3524699999999998</c:v>
                </c:pt>
                <c:pt idx="1">
                  <c:v>4.5342450000000003</c:v>
                </c:pt>
                <c:pt idx="2">
                  <c:v>6.165362</c:v>
                </c:pt>
                <c:pt idx="3">
                  <c:v>7.3988620000000003</c:v>
                </c:pt>
                <c:pt idx="4">
                  <c:v>8.5459999999999994</c:v>
                </c:pt>
                <c:pt idx="5">
                  <c:v>9.8309999999999995</c:v>
                </c:pt>
                <c:pt idx="6">
                  <c:v>7.4859999999999998</c:v>
                </c:pt>
                <c:pt idx="7">
                  <c:v>12.513999999999999</c:v>
                </c:pt>
                <c:pt idx="8">
                  <c:v>9.7021160000000002</c:v>
                </c:pt>
                <c:pt idx="9">
                  <c:v>10.133524</c:v>
                </c:pt>
                <c:pt idx="10">
                  <c:v>-73.272795000000002</c:v>
                </c:pt>
                <c:pt idx="11">
                  <c:v>12.270455999999999</c:v>
                </c:pt>
                <c:pt idx="12">
                  <c:v>5.2503469999999997</c:v>
                </c:pt>
                <c:pt idx="13">
                  <c:v>4.9500539999999997</c:v>
                </c:pt>
                <c:pt idx="14">
                  <c:v>4.2469549999999998</c:v>
                </c:pt>
                <c:pt idx="15">
                  <c:v>4.8015179999999997</c:v>
                </c:pt>
                <c:pt idx="16">
                  <c:v>6.2483769999999996</c:v>
                </c:pt>
                <c:pt idx="17">
                  <c:v>5.0612259999999996</c:v>
                </c:pt>
                <c:pt idx="18">
                  <c:v>4.3330109999999999</c:v>
                </c:pt>
                <c:pt idx="19">
                  <c:v>5.0671020000000002</c:v>
                </c:pt>
                <c:pt idx="20">
                  <c:v>8.08</c:v>
                </c:pt>
                <c:pt idx="21">
                  <c:v>7.59</c:v>
                </c:pt>
                <c:pt idx="22">
                  <c:v>1.589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Cofina!$C$36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99-476B-BA05-96EA0F03524F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Cofina!$D$36:$AA$36</c:f>
              <c:numCache>
                <c:formatCode>0.0</c:formatCode>
                <c:ptCount val="24"/>
                <c:pt idx="0">
                  <c:v>22.644975876419259</c:v>
                </c:pt>
                <c:pt idx="1">
                  <c:v>18.469049691845058</c:v>
                </c:pt>
                <c:pt idx="2">
                  <c:v>22.563960610909792</c:v>
                </c:pt>
                <c:pt idx="3">
                  <c:v>14.7319952717053</c:v>
                </c:pt>
                <c:pt idx="4">
                  <c:v>13.63210858881348</c:v>
                </c:pt>
                <c:pt idx="5">
                  <c:v>12.864917098972638</c:v>
                </c:pt>
                <c:pt idx="6">
                  <c:v>24.312049158429069</c:v>
                </c:pt>
                <c:pt idx="7">
                  <c:v>12.376091766022057</c:v>
                </c:pt>
                <c:pt idx="8">
                  <c:v>19.240114375049735</c:v>
                </c:pt>
                <c:pt idx="9">
                  <c:v>15.485800307967891</c:v>
                </c:pt>
                <c:pt idx="10">
                  <c:v>0</c:v>
                </c:pt>
                <c:pt idx="11">
                  <c:v>8.8602889868151617</c:v>
                </c:pt>
                <c:pt idx="12">
                  <c:v>13.479190392558817</c:v>
                </c:pt>
                <c:pt idx="13">
                  <c:v>15.747310102071614</c:v>
                </c:pt>
                <c:pt idx="14">
                  <c:v>14.248760168167546</c:v>
                </c:pt>
                <c:pt idx="15">
                  <c:v>10.680563521786237</c:v>
                </c:pt>
                <c:pt idx="16">
                  <c:v>7.7477838792377609</c:v>
                </c:pt>
                <c:pt idx="17">
                  <c:v>9.0179330106974103</c:v>
                </c:pt>
                <c:pt idx="18">
                  <c:v>6.1544079532685245</c:v>
                </c:pt>
                <c:pt idx="19">
                  <c:v>9.0884415517982475</c:v>
                </c:pt>
                <c:pt idx="20">
                  <c:v>7.0323605376237639</c:v>
                </c:pt>
                <c:pt idx="21">
                  <c:v>5.5397294526350462</c:v>
                </c:pt>
                <c:pt idx="22">
                  <c:v>15.491378628067967</c:v>
                </c:pt>
                <c:pt idx="23">
                  <c:v>4.8000811248000002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Cofina!$C$38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2-472E-9D77-9BC7BDD08161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2-472E-9D77-9BC7BDD08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Cofina!$D$38:$AA$38</c:f>
              <c:numCache>
                <c:formatCode>0%</c:formatCode>
                <c:ptCount val="24"/>
                <c:pt idx="0">
                  <c:v>0.39687524383406136</c:v>
                </c:pt>
                <c:pt idx="1">
                  <c:v>0.45879110279943769</c:v>
                </c:pt>
                <c:pt idx="2">
                  <c:v>0.51417790508628125</c:v>
                </c:pt>
                <c:pt idx="3">
                  <c:v>0.42151251705406984</c:v>
                </c:pt>
                <c:pt idx="4">
                  <c:v>0.30841758828238502</c:v>
                </c:pt>
                <c:pt idx="5">
                  <c:v>0.22729320308377415</c:v>
                </c:pt>
                <c:pt idx="6">
                  <c:v>0.27421126054534645</c:v>
                </c:pt>
                <c:pt idx="7">
                  <c:v>0.26589057269565847</c:v>
                </c:pt>
                <c:pt idx="8">
                  <c:v>0.24531513347681796</c:v>
                </c:pt>
                <c:pt idx="9">
                  <c:v>0.26265257836989514</c:v>
                </c:pt>
                <c:pt idx="10">
                  <c:v>-1.4522600336437572</c:v>
                </c:pt>
                <c:pt idx="11">
                  <c:v>4.7691394988611764</c:v>
                </c:pt>
                <c:pt idx="12">
                  <c:v>2.762028285870016</c:v>
                </c:pt>
                <c:pt idx="13">
                  <c:v>1.6671667976680355</c:v>
                </c:pt>
                <c:pt idx="14">
                  <c:v>0.93444745993126377</c:v>
                </c:pt>
                <c:pt idx="15">
                  <c:v>0.76510195473176301</c:v>
                </c:pt>
                <c:pt idx="16">
                  <c:v>0.76909637825442545</c:v>
                </c:pt>
                <c:pt idx="17">
                  <c:v>0.45193336055454697</c:v>
                </c:pt>
                <c:pt idx="18">
                  <c:v>0.47435149328540016</c:v>
                </c:pt>
                <c:pt idx="19">
                  <c:v>0.30534210355987057</c:v>
                </c:pt>
                <c:pt idx="20">
                  <c:v>0.35894736842105263</c:v>
                </c:pt>
                <c:pt idx="21">
                  <c:v>0.30228310502283107</c:v>
                </c:pt>
                <c:pt idx="22">
                  <c:v>0.1459691629955947</c:v>
                </c:pt>
                <c:pt idx="23">
                  <c:v>0.21141649048625794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71-4D54-90DA-AB537520EAF0}"/>
            </c:ext>
          </c:extLst>
        </c:ser>
        <c:ser>
          <c:idx val="1"/>
          <c:order val="1"/>
          <c:tx>
            <c:strRef>
              <c:f>Cofina!$C$39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2-472E-9D77-9BC7BDD08161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2-472E-9D77-9BC7BDD08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Cofina!$D$39:$AA$39</c:f>
              <c:numCache>
                <c:formatCode>0%</c:formatCode>
                <c:ptCount val="24"/>
                <c:pt idx="0">
                  <c:v>8.3245324534399673E-2</c:v>
                </c:pt>
                <c:pt idx="1">
                  <c:v>0.1590324795941559</c:v>
                </c:pt>
                <c:pt idx="2">
                  <c:v>0.11120196530763719</c:v>
                </c:pt>
                <c:pt idx="3">
                  <c:v>0.12121396700592248</c:v>
                </c:pt>
                <c:pt idx="4">
                  <c:v>0.126693746849705</c:v>
                </c:pt>
                <c:pt idx="5">
                  <c:v>0.12652998185258116</c:v>
                </c:pt>
                <c:pt idx="6">
                  <c:v>7.1826683728142618E-2</c:v>
                </c:pt>
                <c:pt idx="7">
                  <c:v>0.24945564389008792</c:v>
                </c:pt>
                <c:pt idx="8">
                  <c:v>0.16234329215476301</c:v>
                </c:pt>
                <c:pt idx="9">
                  <c:v>0.15716986407487268</c:v>
                </c:pt>
                <c:pt idx="10">
                  <c:v>5.8661053876445495</c:v>
                </c:pt>
                <c:pt idx="11">
                  <c:v>2.8898526606734869</c:v>
                </c:pt>
                <c:pt idx="12">
                  <c:v>0.66274536683245555</c:v>
                </c:pt>
                <c:pt idx="13">
                  <c:v>0.41612653471256056</c:v>
                </c:pt>
                <c:pt idx="14">
                  <c:v>0.28815653246653411</c:v>
                </c:pt>
                <c:pt idx="15">
                  <c:v>0.26617811076726472</c:v>
                </c:pt>
                <c:pt idx="16">
                  <c:v>0.30815614150240433</c:v>
                </c:pt>
                <c:pt idx="17">
                  <c:v>0.22428811755026448</c:v>
                </c:pt>
                <c:pt idx="18">
                  <c:v>0.16665006452144901</c:v>
                </c:pt>
                <c:pt idx="19">
                  <c:v>0.16398388349514564</c:v>
                </c:pt>
                <c:pt idx="20">
                  <c:v>0.21263157894736842</c:v>
                </c:pt>
                <c:pt idx="21">
                  <c:v>0.17328767123287672</c:v>
                </c:pt>
                <c:pt idx="22">
                  <c:v>3.5000000000000003E-2</c:v>
                </c:pt>
                <c:pt idx="23">
                  <c:v>0.10570824524312897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71-4D54-90DA-AB537520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Cofina!$C$37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Cofina!$D$3:$AA$3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Cofina!$D$37:$AA$37</c:f>
              <c:numCache>
                <c:formatCode>0.0</c:formatCode>
                <c:ptCount val="24"/>
                <c:pt idx="0">
                  <c:v>1.885088365906173</c:v>
                </c:pt>
                <c:pt idx="1">
                  <c:v>2.9371787682418007</c:v>
                </c:pt>
                <c:pt idx="2">
                  <c:v>2.5091567650572828</c:v>
                </c:pt>
                <c:pt idx="3">
                  <c:v>1.785723588795892</c:v>
                </c:pt>
                <c:pt idx="4">
                  <c:v>1.7271029145788241</c:v>
                </c:pt>
                <c:pt idx="5">
                  <c:v>1.6277977270679693</c:v>
                </c:pt>
                <c:pt idx="6">
                  <c:v>1.7462538656855406</c:v>
                </c:pt>
                <c:pt idx="7">
                  <c:v>3.0872859403358475</c:v>
                </c:pt>
                <c:pt idx="8">
                  <c:v>3.1235035090797543</c:v>
                </c:pt>
                <c:pt idx="9">
                  <c:v>2.4339011294939348</c:v>
                </c:pt>
                <c:pt idx="10">
                  <c:v>-3.6950671994502229</c:v>
                </c:pt>
                <c:pt idx="11">
                  <c:v>25.604929702883787</c:v>
                </c:pt>
                <c:pt idx="12">
                  <c:v>8.9332709813209039</c:v>
                </c:pt>
                <c:pt idx="13">
                  <c:v>6.5528735838191592</c:v>
                </c:pt>
                <c:pt idx="14">
                  <c:v>4.1058733220064294</c:v>
                </c:pt>
                <c:pt idx="15">
                  <c:v>2.8429322201588234</c:v>
                </c:pt>
                <c:pt idx="16">
                  <c:v>2.3875271854204385</c:v>
                </c:pt>
                <c:pt idx="17">
                  <c:v>2.0226152191637112</c:v>
                </c:pt>
                <c:pt idx="18">
                  <c:v>1.0256324825035186</c:v>
                </c:pt>
                <c:pt idx="19">
                  <c:v>1.4903579405825245</c:v>
                </c:pt>
                <c:pt idx="20">
                  <c:v>1.4953019248421056</c:v>
                </c:pt>
                <c:pt idx="21">
                  <c:v>0.95996681610730605</c:v>
                </c:pt>
                <c:pt idx="22">
                  <c:v>0.54219825198237892</c:v>
                </c:pt>
                <c:pt idx="23">
                  <c:v>0.5074081527272728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Cofina!$C$41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Cofina!$D$41:$AA$41</c:f>
              <c:numCache>
                <c:formatCode>0.0</c:formatCode>
                <c:ptCount val="24"/>
                <c:pt idx="0">
                  <c:v>1.7972269096036935</c:v>
                </c:pt>
                <c:pt idx="1">
                  <c:v>1.2363273180953556</c:v>
                </c:pt>
                <c:pt idx="2">
                  <c:v>1.8318279345295296</c:v>
                </c:pt>
                <c:pt idx="3">
                  <c:v>1.6283834695006549</c:v>
                </c:pt>
                <c:pt idx="4">
                  <c:v>1.3977809690656293</c:v>
                </c:pt>
                <c:pt idx="5">
                  <c:v>1.0654954527570897</c:v>
                </c:pt>
                <c:pt idx="6">
                  <c:v>0.82537011022016493</c:v>
                </c:pt>
                <c:pt idx="7">
                  <c:v>1.4515841772408691</c:v>
                </c:pt>
                <c:pt idx="8">
                  <c:v>1.2884591970274679</c:v>
                </c:pt>
                <c:pt idx="9">
                  <c:v>1.2885987437551287</c:v>
                </c:pt>
                <c:pt idx="10">
                  <c:v>0.85428857235462463</c:v>
                </c:pt>
                <c:pt idx="11">
                  <c:v>0.72540015633875532</c:v>
                </c:pt>
                <c:pt idx="12">
                  <c:v>0.54425140903355651</c:v>
                </c:pt>
                <c:pt idx="13">
                  <c:v>0.38379827789047644</c:v>
                </c:pt>
                <c:pt idx="14">
                  <c:v>0.29189811424029311</c:v>
                </c:pt>
                <c:pt idx="15">
                  <c:v>0.56747074972322631</c:v>
                </c:pt>
                <c:pt idx="16">
                  <c:v>0.58607265264133179</c:v>
                </c:pt>
                <c:pt idx="17">
                  <c:v>0.65193858581664388</c:v>
                </c:pt>
                <c:pt idx="18">
                  <c:v>0.54410406401831157</c:v>
                </c:pt>
                <c:pt idx="19">
                  <c:v>0.37541254710488936</c:v>
                </c:pt>
                <c:pt idx="20">
                  <c:v>0.30515759312320917</c:v>
                </c:pt>
                <c:pt idx="21">
                  <c:v>0.26932989690721648</c:v>
                </c:pt>
                <c:pt idx="22">
                  <c:v>0.33506493506493507</c:v>
                </c:pt>
                <c:pt idx="23">
                  <c:v>0.37831021437578816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Cofina!$C$45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Cofina!$D$45:$AA$45</c:f>
              <c:numCache>
                <c:formatCode>0.0</c:formatCode>
                <c:ptCount val="24"/>
                <c:pt idx="0">
                  <c:v>3.1027812431825987</c:v>
                </c:pt>
                <c:pt idx="1">
                  <c:v>4.9577320542210428</c:v>
                </c:pt>
                <c:pt idx="2">
                  <c:v>6.8259483721664536</c:v>
                </c:pt>
                <c:pt idx="3">
                  <c:v>4.7001599713445428</c:v>
                </c:pt>
                <c:pt idx="4">
                  <c:v>3.7412162362498895</c:v>
                </c:pt>
                <c:pt idx="5">
                  <c:v>3.6299517355882465</c:v>
                </c:pt>
                <c:pt idx="6">
                  <c:v>2.4783719502503789</c:v>
                </c:pt>
                <c:pt idx="7">
                  <c:v>3.5899890703184445</c:v>
                </c:pt>
                <c:pt idx="8">
                  <c:v>2.6229132016582444</c:v>
                </c:pt>
                <c:pt idx="9">
                  <c:v>4.7873661878240803</c:v>
                </c:pt>
                <c:pt idx="10">
                  <c:v>-20.511619921613185</c:v>
                </c:pt>
                <c:pt idx="11">
                  <c:v>57.287992201691502</c:v>
                </c:pt>
                <c:pt idx="12">
                  <c:v>26.737851796703861</c:v>
                </c:pt>
                <c:pt idx="13">
                  <c:v>13.636138135689396</c:v>
                </c:pt>
                <c:pt idx="14">
                  <c:v>8.6630125968552409</c:v>
                </c:pt>
                <c:pt idx="15">
                  <c:v>6.6053286091307593</c:v>
                </c:pt>
                <c:pt idx="16">
                  <c:v>5.6335462859043988</c:v>
                </c:pt>
                <c:pt idx="17">
                  <c:v>4.7275798340971313</c:v>
                </c:pt>
                <c:pt idx="18">
                  <c:v>3.6809940487655388</c:v>
                </c:pt>
                <c:pt idx="19">
                  <c:v>2.6699029126213594</c:v>
                </c:pt>
                <c:pt idx="20">
                  <c:v>1.9578947368421054</c:v>
                </c:pt>
                <c:pt idx="21">
                  <c:v>2.0365296803652968</c:v>
                </c:pt>
                <c:pt idx="22">
                  <c:v>1.9229074889867841</c:v>
                </c:pt>
                <c:pt idx="23">
                  <c:v>1.8879492600422834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Conduril!$C$26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Conduril!$I$26:$AE$26</c:f>
              <c:numCache>
                <c:formatCode>#,##0</c:formatCode>
                <c:ptCount val="23"/>
                <c:pt idx="0">
                  <c:v>6.1380000000000008</c:v>
                </c:pt>
                <c:pt idx="1">
                  <c:v>6.3</c:v>
                </c:pt>
                <c:pt idx="2">
                  <c:v>7.2359999999999998</c:v>
                </c:pt>
                <c:pt idx="3">
                  <c:v>0.81</c:v>
                </c:pt>
                <c:pt idx="4">
                  <c:v>8.1</c:v>
                </c:pt>
                <c:pt idx="5">
                  <c:v>13.788</c:v>
                </c:pt>
                <c:pt idx="6">
                  <c:v>13.788</c:v>
                </c:pt>
                <c:pt idx="7">
                  <c:v>13.824</c:v>
                </c:pt>
                <c:pt idx="8">
                  <c:v>13.464</c:v>
                </c:pt>
                <c:pt idx="9">
                  <c:v>13.464</c:v>
                </c:pt>
                <c:pt idx="10">
                  <c:v>23.400000000000002</c:v>
                </c:pt>
                <c:pt idx="11">
                  <c:v>9.9179999999999993</c:v>
                </c:pt>
                <c:pt idx="12">
                  <c:v>36</c:v>
                </c:pt>
                <c:pt idx="13">
                  <c:v>39.6</c:v>
                </c:pt>
                <c:pt idx="14">
                  <c:v>91.8</c:v>
                </c:pt>
                <c:pt idx="15">
                  <c:v>109.8</c:v>
                </c:pt>
                <c:pt idx="16">
                  <c:v>100.8</c:v>
                </c:pt>
                <c:pt idx="17">
                  <c:v>52.2</c:v>
                </c:pt>
                <c:pt idx="18">
                  <c:v>72.900000000000006</c:v>
                </c:pt>
                <c:pt idx="19">
                  <c:v>90.083179999999999</c:v>
                </c:pt>
                <c:pt idx="20">
                  <c:v>69.12</c:v>
                </c:pt>
                <c:pt idx="21">
                  <c:v>59.04974</c:v>
                </c:pt>
                <c:pt idx="22">
                  <c:v>58.618719999999996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Conduril!$C$5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F2-4E88-AED2-BAF0A8ED052A}"/>
                </c:ext>
              </c:extLst>
            </c:dLbl>
            <c:dLbl>
              <c:idx val="1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F2-4E88-AED2-BAF0A8ED0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Conduril!$I$5:$AE$5</c:f>
              <c:numCache>
                <c:formatCode>#\ ##0.0</c:formatCode>
                <c:ptCount val="23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1.8</c:v>
                </c:pt>
                <c:pt idx="13">
                  <c:v>1.8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2.1551</c:v>
                </c:pt>
                <c:pt idx="20">
                  <c:v>2.16</c:v>
                </c:pt>
                <c:pt idx="21">
                  <c:v>2.1551</c:v>
                </c:pt>
                <c:pt idx="22">
                  <c:v>2.1551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Altri!$C$7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Altri!$D$3:$T$3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cat>
          <c:val>
            <c:numRef>
              <c:f>Altri!$D$7:$T$7</c:f>
              <c:numCache>
                <c:formatCode>#,##0</c:formatCode>
                <c:ptCount val="17"/>
                <c:pt idx="0">
                  <c:v>20</c:v>
                </c:pt>
                <c:pt idx="1">
                  <c:v>63.16</c:v>
                </c:pt>
                <c:pt idx="2">
                  <c:v>102.32</c:v>
                </c:pt>
                <c:pt idx="3">
                  <c:v>68.53</c:v>
                </c:pt>
                <c:pt idx="4">
                  <c:v>51.499000000000002</c:v>
                </c:pt>
                <c:pt idx="5">
                  <c:v>160.096</c:v>
                </c:pt>
                <c:pt idx="6">
                  <c:v>113.125</c:v>
                </c:pt>
                <c:pt idx="7">
                  <c:v>143.05000000000001</c:v>
                </c:pt>
                <c:pt idx="8">
                  <c:v>141.4</c:v>
                </c:pt>
                <c:pt idx="9">
                  <c:v>113.535</c:v>
                </c:pt>
                <c:pt idx="10">
                  <c:v>221.108</c:v>
                </c:pt>
                <c:pt idx="11">
                  <c:v>167.477</c:v>
                </c:pt>
                <c:pt idx="12">
                  <c:v>191.09800000000001</c:v>
                </c:pt>
                <c:pt idx="13">
                  <c:v>292.68</c:v>
                </c:pt>
                <c:pt idx="14">
                  <c:v>233.14</c:v>
                </c:pt>
                <c:pt idx="15">
                  <c:v>130.4</c:v>
                </c:pt>
                <c:pt idx="16">
                  <c:v>275.7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Altri!$C$28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Altri!$D$28:$T$28</c:f>
              <c:numCache>
                <c:formatCode>0.0</c:formatCode>
                <c:ptCount val="17"/>
                <c:pt idx="0">
                  <c:v>6.6119999999999992</c:v>
                </c:pt>
                <c:pt idx="1">
                  <c:v>5.5832805573147564</c:v>
                </c:pt>
                <c:pt idx="2">
                  <c:v>4.5347928068803753</c:v>
                </c:pt>
                <c:pt idx="3">
                  <c:v>3.1562819203268644</c:v>
                </c:pt>
                <c:pt idx="4">
                  <c:v>8.0001553428221897</c:v>
                </c:pt>
                <c:pt idx="5">
                  <c:v>2.1778807715370774</c:v>
                </c:pt>
                <c:pt idx="6">
                  <c:v>2.1756464088397789</c:v>
                </c:pt>
                <c:pt idx="7">
                  <c:v>2.279685424676686</c:v>
                </c:pt>
                <c:pt idx="8">
                  <c:v>3.2495841584158418</c:v>
                </c:pt>
                <c:pt idx="9">
                  <c:v>4.480753952525653</c:v>
                </c:pt>
                <c:pt idx="10">
                  <c:v>4.4253039238743055</c:v>
                </c:pt>
                <c:pt idx="11">
                  <c:v>4.7278241191327757</c:v>
                </c:pt>
                <c:pt idx="12">
                  <c:v>5.5496242765492045</c:v>
                </c:pt>
                <c:pt idx="13">
                  <c:v>4.0638444717780509</c:v>
                </c:pt>
                <c:pt idx="14">
                  <c:v>4.9951548425838546</c:v>
                </c:pt>
                <c:pt idx="15">
                  <c:v>8.1147331288343558</c:v>
                </c:pt>
                <c:pt idx="16">
                  <c:v>4.1740612256800871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Conduril!$C$6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Conduril!$I$6:$AE$6</c:f>
              <c:numCache>
                <c:formatCode>#,##0</c:formatCode>
                <c:ptCount val="23"/>
                <c:pt idx="0">
                  <c:v>58.640839999999997</c:v>
                </c:pt>
                <c:pt idx="1">
                  <c:v>68.038038999999998</c:v>
                </c:pt>
                <c:pt idx="2">
                  <c:v>64.898791000000003</c:v>
                </c:pt>
                <c:pt idx="3">
                  <c:v>47.693649999999998</c:v>
                </c:pt>
                <c:pt idx="4">
                  <c:v>50.335354000000002</c:v>
                </c:pt>
                <c:pt idx="5">
                  <c:v>74</c:v>
                </c:pt>
                <c:pt idx="6">
                  <c:v>98.469218999999995</c:v>
                </c:pt>
                <c:pt idx="7">
                  <c:v>131.59647899999999</c:v>
                </c:pt>
                <c:pt idx="8">
                  <c:v>113.179739</c:v>
                </c:pt>
                <c:pt idx="9">
                  <c:v>203.328</c:v>
                </c:pt>
                <c:pt idx="10">
                  <c:v>260.411</c:v>
                </c:pt>
                <c:pt idx="11">
                  <c:v>251.85499999999999</c:v>
                </c:pt>
                <c:pt idx="12">
                  <c:v>238.11230900000001</c:v>
                </c:pt>
                <c:pt idx="13">
                  <c:v>230.409232</c:v>
                </c:pt>
                <c:pt idx="14">
                  <c:v>208.468524</c:v>
                </c:pt>
                <c:pt idx="15">
                  <c:v>208.81540200000001</c:v>
                </c:pt>
                <c:pt idx="16">
                  <c:v>196.17266000000001</c:v>
                </c:pt>
                <c:pt idx="17">
                  <c:v>146.20865499999999</c:v>
                </c:pt>
                <c:pt idx="18">
                  <c:v>140.5</c:v>
                </c:pt>
                <c:pt idx="19">
                  <c:v>124.6</c:v>
                </c:pt>
                <c:pt idx="20">
                  <c:v>154.80000000000001</c:v>
                </c:pt>
                <c:pt idx="21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Conduril!$C$27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Conduril!$I$27:$AE$27</c:f>
              <c:numCache>
                <c:formatCode>0.0</c:formatCode>
                <c:ptCount val="23"/>
                <c:pt idx="0">
                  <c:v>0.10467107906366964</c:v>
                </c:pt>
                <c:pt idx="1">
                  <c:v>9.2595261306693447E-2</c:v>
                </c:pt>
                <c:pt idx="2">
                  <c:v>0.11149668412158864</c:v>
                </c:pt>
                <c:pt idx="3">
                  <c:v>1.6983392967407612E-2</c:v>
                </c:pt>
                <c:pt idx="4">
                  <c:v>0.16092069204480014</c:v>
                </c:pt>
                <c:pt idx="5">
                  <c:v>0.18632432432432433</c:v>
                </c:pt>
                <c:pt idx="6">
                  <c:v>0.14002345240495917</c:v>
                </c:pt>
                <c:pt idx="7">
                  <c:v>0.1050484033087238</c:v>
                </c:pt>
                <c:pt idx="8">
                  <c:v>0.1189612214956601</c:v>
                </c:pt>
                <c:pt idx="9">
                  <c:v>6.6218130311614734E-2</c:v>
                </c:pt>
                <c:pt idx="10">
                  <c:v>8.9857955309107534E-2</c:v>
                </c:pt>
                <c:pt idx="11">
                  <c:v>3.937980187012368E-2</c:v>
                </c:pt>
                <c:pt idx="12">
                  <c:v>0.15118916006983915</c:v>
                </c:pt>
                <c:pt idx="13">
                  <c:v>0.17186811334018076</c:v>
                </c:pt>
                <c:pt idx="14">
                  <c:v>0.44035424743545454</c:v>
                </c:pt>
                <c:pt idx="15">
                  <c:v>0.52582328194354166</c:v>
                </c:pt>
                <c:pt idx="16">
                  <c:v>0.51383306929722006</c:v>
                </c:pt>
                <c:pt idx="17">
                  <c:v>0.35702400791526334</c:v>
                </c:pt>
                <c:pt idx="18">
                  <c:v>0.51886120996441287</c:v>
                </c:pt>
                <c:pt idx="19">
                  <c:v>0.72297897271268063</c:v>
                </c:pt>
                <c:pt idx="20">
                  <c:v>0.44651162790697674</c:v>
                </c:pt>
                <c:pt idx="21">
                  <c:v>0.47620758064516128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Conduril!$C$7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Conduril!$I$7:$AE$7</c:f>
              <c:numCache>
                <c:formatCode>#,##0</c:formatCode>
                <c:ptCount val="23"/>
                <c:pt idx="0">
                  <c:v>3.7964099999999998</c:v>
                </c:pt>
                <c:pt idx="1">
                  <c:v>5.8718320000000004</c:v>
                </c:pt>
                <c:pt idx="2">
                  <c:v>4.520162</c:v>
                </c:pt>
                <c:pt idx="3">
                  <c:v>-3.4461729999999999</c:v>
                </c:pt>
                <c:pt idx="4">
                  <c:v>3.578576</c:v>
                </c:pt>
                <c:pt idx="5">
                  <c:v>6</c:v>
                </c:pt>
                <c:pt idx="6">
                  <c:v>8.3699999999999992</c:v>
                </c:pt>
                <c:pt idx="7">
                  <c:v>16.09</c:v>
                </c:pt>
                <c:pt idx="8">
                  <c:v>23.112362000000001</c:v>
                </c:pt>
                <c:pt idx="9">
                  <c:v>52.254579</c:v>
                </c:pt>
                <c:pt idx="10">
                  <c:v>64.662000000000006</c:v>
                </c:pt>
                <c:pt idx="11">
                  <c:v>74.745000000000005</c:v>
                </c:pt>
                <c:pt idx="12">
                  <c:v>53.377009999999999</c:v>
                </c:pt>
                <c:pt idx="13">
                  <c:v>63.530830999999999</c:v>
                </c:pt>
                <c:pt idx="14">
                  <c:v>70.867200999999994</c:v>
                </c:pt>
                <c:pt idx="15">
                  <c:v>63.540439999999997</c:v>
                </c:pt>
                <c:pt idx="16">
                  <c:v>35.554729999999999</c:v>
                </c:pt>
                <c:pt idx="17">
                  <c:v>29.127561</c:v>
                </c:pt>
                <c:pt idx="18">
                  <c:v>41</c:v>
                </c:pt>
                <c:pt idx="19">
                  <c:v>35</c:v>
                </c:pt>
                <c:pt idx="20">
                  <c:v>29</c:v>
                </c:pt>
                <c:pt idx="21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Conduril!$C$28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Conduril!$I$28:$AE$28</c:f>
              <c:numCache>
                <c:formatCode>0.0</c:formatCode>
                <c:ptCount val="23"/>
                <c:pt idx="0">
                  <c:v>1.6167905995400922</c:v>
                </c:pt>
                <c:pt idx="1">
                  <c:v>1.0729189799708165</c:v>
                </c:pt>
                <c:pt idx="2">
                  <c:v>1.6008275809583816</c:v>
                </c:pt>
                <c:pt idx="3">
                  <c:v>-0.23504333647788433</c:v>
                </c:pt>
                <c:pt idx="4">
                  <c:v>2.2634701624333253</c:v>
                </c:pt>
                <c:pt idx="5">
                  <c:v>2.298</c:v>
                </c:pt>
                <c:pt idx="6">
                  <c:v>1.6473118279569894</c:v>
                </c:pt>
                <c:pt idx="7">
                  <c:v>0.85916718458669983</c:v>
                </c:pt>
                <c:pt idx="8">
                  <c:v>0.58254539280753737</c:v>
                </c:pt>
                <c:pt idx="9">
                  <c:v>0.25766162999801417</c:v>
                </c:pt>
                <c:pt idx="10">
                  <c:v>0.36188178528347409</c:v>
                </c:pt>
                <c:pt idx="11">
                  <c:v>0.13269114990969294</c:v>
                </c:pt>
                <c:pt idx="12">
                  <c:v>0.67444766951164936</c:v>
                </c:pt>
                <c:pt idx="13">
                  <c:v>0.62331940849317713</c:v>
                </c:pt>
                <c:pt idx="14">
                  <c:v>1.2953806373698886</c:v>
                </c:pt>
                <c:pt idx="15">
                  <c:v>1.728033359542364</c:v>
                </c:pt>
                <c:pt idx="16">
                  <c:v>2.8350658266846631</c:v>
                </c:pt>
                <c:pt idx="17">
                  <c:v>1.7921170948710743</c:v>
                </c:pt>
                <c:pt idx="18">
                  <c:v>1.7780487804878051</c:v>
                </c:pt>
                <c:pt idx="19">
                  <c:v>2.5738051428571427</c:v>
                </c:pt>
                <c:pt idx="20">
                  <c:v>2.3834482758620692</c:v>
                </c:pt>
                <c:pt idx="21">
                  <c:v>5.5186672897196267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Conduril!$C$32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2A-4BDB-8AB0-12E7C8974322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1-4F80-8BC8-A8D61173A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Conduril!$I$32:$AE$32</c:f>
              <c:numCache>
                <c:formatCode>0.0%</c:formatCode>
                <c:ptCount val="23"/>
                <c:pt idx="0">
                  <c:v>6.4740034419697945E-2</c:v>
                </c:pt>
                <c:pt idx="1">
                  <c:v>8.6302193395080079E-2</c:v>
                </c:pt>
                <c:pt idx="2">
                  <c:v>6.9649402251576606E-2</c:v>
                </c:pt>
                <c:pt idx="3">
                  <c:v>-7.2256432460086409E-2</c:v>
                </c:pt>
                <c:pt idx="4">
                  <c:v>7.1094682278384294E-2</c:v>
                </c:pt>
                <c:pt idx="5">
                  <c:v>8.1081081081081086E-2</c:v>
                </c:pt>
                <c:pt idx="6">
                  <c:v>8.5001181942958234E-2</c:v>
                </c:pt>
                <c:pt idx="7">
                  <c:v>0.12226770900154556</c:v>
                </c:pt>
                <c:pt idx="8">
                  <c:v>0.20420935941546925</c:v>
                </c:pt>
                <c:pt idx="9">
                  <c:v>0.25699647367799811</c:v>
                </c:pt>
                <c:pt idx="10">
                  <c:v>0.24830748317083381</c:v>
                </c:pt>
                <c:pt idx="11">
                  <c:v>0.29677790792320979</c:v>
                </c:pt>
                <c:pt idx="12">
                  <c:v>0.22416736969276121</c:v>
                </c:pt>
                <c:pt idx="13">
                  <c:v>0.27573040562888557</c:v>
                </c:pt>
                <c:pt idx="14">
                  <c:v>0.33994197128771342</c:v>
                </c:pt>
                <c:pt idx="15">
                  <c:v>0.30429000634732872</c:v>
                </c:pt>
                <c:pt idx="16">
                  <c:v>0.1812420242453765</c:v>
                </c:pt>
                <c:pt idx="17">
                  <c:v>0.19921912967464206</c:v>
                </c:pt>
                <c:pt idx="18">
                  <c:v>0.29181494661921709</c:v>
                </c:pt>
                <c:pt idx="19">
                  <c:v>0.2808988764044944</c:v>
                </c:pt>
                <c:pt idx="20">
                  <c:v>0.18733850129198965</c:v>
                </c:pt>
                <c:pt idx="21">
                  <c:v>8.629032258064516E-2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Conduril!$C$33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2A-4BDB-8AB0-12E7C8974322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1-4F80-8BC8-A8D61173A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Conduril!$I$33:$AE$33</c:f>
              <c:numCache>
                <c:formatCode>0.0%</c:formatCode>
                <c:ptCount val="23"/>
                <c:pt idx="0">
                  <c:v>1.1352497679091909E-2</c:v>
                </c:pt>
                <c:pt idx="1">
                  <c:v>4.9094507265266714E-2</c:v>
                </c:pt>
                <c:pt idx="2">
                  <c:v>3.9849139870725789E-2</c:v>
                </c:pt>
                <c:pt idx="3">
                  <c:v>-0.10185915735113585</c:v>
                </c:pt>
                <c:pt idx="4">
                  <c:v>4.0415013272778411E-2</c:v>
                </c:pt>
                <c:pt idx="5">
                  <c:v>3.3783783783783786E-2</c:v>
                </c:pt>
                <c:pt idx="6">
                  <c:v>3.2644191074573267E-2</c:v>
                </c:pt>
                <c:pt idx="7">
                  <c:v>7.7974912991403064E-2</c:v>
                </c:pt>
                <c:pt idx="8">
                  <c:v>0.15743387604030437</c:v>
                </c:pt>
                <c:pt idx="9">
                  <c:v>0.21938127557444129</c:v>
                </c:pt>
                <c:pt idx="10">
                  <c:v>0.21622390375214565</c:v>
                </c:pt>
                <c:pt idx="11">
                  <c:v>0.25540829445514285</c:v>
                </c:pt>
                <c:pt idx="12">
                  <c:v>0.18401805091058943</c:v>
                </c:pt>
                <c:pt idx="13">
                  <c:v>0.23805135117155377</c:v>
                </c:pt>
                <c:pt idx="14">
                  <c:v>0.30915957365343077</c:v>
                </c:pt>
                <c:pt idx="15">
                  <c:v>0.25711857212524963</c:v>
                </c:pt>
                <c:pt idx="16">
                  <c:v>0.12249695242955874</c:v>
                </c:pt>
                <c:pt idx="17">
                  <c:v>0.13546939474957895</c:v>
                </c:pt>
                <c:pt idx="18">
                  <c:v>0.1715302491103203</c:v>
                </c:pt>
                <c:pt idx="19">
                  <c:v>0.15409309791332262</c:v>
                </c:pt>
                <c:pt idx="20">
                  <c:v>0.1020671834625323</c:v>
                </c:pt>
                <c:pt idx="21">
                  <c:v>5.32258064516129E-2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Conduril!$C$35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A-4BDB-8AB0-12E7C8974322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1-4F80-8BC8-A8D61173A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Conduril!$I$35:$AE$35</c:f>
              <c:numCache>
                <c:formatCode>0.0%</c:formatCode>
                <c:ptCount val="23"/>
                <c:pt idx="0">
                  <c:v>1.8299192167097198E-3</c:v>
                </c:pt>
                <c:pt idx="1">
                  <c:v>1.8060837996815279E-2</c:v>
                </c:pt>
                <c:pt idx="2">
                  <c:v>1.7651777211073159E-2</c:v>
                </c:pt>
                <c:pt idx="3">
                  <c:v>1.6761937909973341E-2</c:v>
                </c:pt>
                <c:pt idx="4">
                  <c:v>1.1867066634715632E-2</c:v>
                </c:pt>
                <c:pt idx="5">
                  <c:v>1.3513513513513514E-2</c:v>
                </c:pt>
                <c:pt idx="6">
                  <c:v>3.6826817931804659E-2</c:v>
                </c:pt>
                <c:pt idx="7">
                  <c:v>1.4375384618003344E-2</c:v>
                </c:pt>
                <c:pt idx="8">
                  <c:v>6.1704763252723178E-2</c:v>
                </c:pt>
                <c:pt idx="9">
                  <c:v>0.1294137010151086</c:v>
                </c:pt>
                <c:pt idx="10">
                  <c:v>0.14284621617366394</c:v>
                </c:pt>
                <c:pt idx="11">
                  <c:v>0.13546047130293223</c:v>
                </c:pt>
                <c:pt idx="12">
                  <c:v>8.3924636588190812E-2</c:v>
                </c:pt>
                <c:pt idx="13">
                  <c:v>0.10273567510524056</c:v>
                </c:pt>
                <c:pt idx="14">
                  <c:v>0.17489269507179897</c:v>
                </c:pt>
                <c:pt idx="15">
                  <c:v>0.14114251974574174</c:v>
                </c:pt>
                <c:pt idx="16">
                  <c:v>3.1358498171967487E-2</c:v>
                </c:pt>
                <c:pt idx="17">
                  <c:v>2.8977887800144257E-2</c:v>
                </c:pt>
                <c:pt idx="18">
                  <c:v>4.9822064056939501E-2</c:v>
                </c:pt>
                <c:pt idx="19">
                  <c:v>2.4077046548956663E-2</c:v>
                </c:pt>
                <c:pt idx="20">
                  <c:v>1.614987080103359E-2</c:v>
                </c:pt>
                <c:pt idx="21">
                  <c:v>8.870967741935484E-3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Conduril!$C$12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Conduril!$I$12:$AE$12</c:f>
              <c:numCache>
                <c:formatCode>#,##0</c:formatCode>
                <c:ptCount val="23"/>
                <c:pt idx="0">
                  <c:v>0.107308</c:v>
                </c:pt>
                <c:pt idx="1">
                  <c:v>1.2288239999999999</c:v>
                </c:pt>
                <c:pt idx="2">
                  <c:v>1.1455789999999999</c:v>
                </c:pt>
                <c:pt idx="3">
                  <c:v>0.79943799999999998</c:v>
                </c:pt>
                <c:pt idx="4">
                  <c:v>0.597333</c:v>
                </c:pt>
                <c:pt idx="5">
                  <c:v>1</c:v>
                </c:pt>
                <c:pt idx="6">
                  <c:v>3.6263079999999999</c:v>
                </c:pt>
                <c:pt idx="7">
                  <c:v>1.89175</c:v>
                </c:pt>
                <c:pt idx="8">
                  <c:v>6.9837290000000003</c:v>
                </c:pt>
                <c:pt idx="9">
                  <c:v>26.313428999999999</c:v>
                </c:pt>
                <c:pt idx="10">
                  <c:v>37.198726000000001</c:v>
                </c:pt>
                <c:pt idx="11">
                  <c:v>34.116396999999999</c:v>
                </c:pt>
                <c:pt idx="12">
                  <c:v>19.983488999999999</c:v>
                </c:pt>
                <c:pt idx="13">
                  <c:v>23.671247999999999</c:v>
                </c:pt>
                <c:pt idx="14">
                  <c:v>36.459622000000003</c:v>
                </c:pt>
                <c:pt idx="15">
                  <c:v>29.472732000000001</c:v>
                </c:pt>
                <c:pt idx="16">
                  <c:v>6.1516799999999998</c:v>
                </c:pt>
                <c:pt idx="17">
                  <c:v>4.2368180000000004</c:v>
                </c:pt>
                <c:pt idx="18">
                  <c:v>7</c:v>
                </c:pt>
                <c:pt idx="19">
                  <c:v>3</c:v>
                </c:pt>
                <c:pt idx="20">
                  <c:v>2.5</c:v>
                </c:pt>
                <c:pt idx="21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Conduril!$C$36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CC-4875-BB1A-F0710A51543D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Conduril!$I$36:$AE$36</c:f>
              <c:numCache>
                <c:formatCode>0.0</c:formatCode>
                <c:ptCount val="23"/>
                <c:pt idx="0">
                  <c:v>57.19983598613338</c:v>
                </c:pt>
                <c:pt idx="1">
                  <c:v>5.1268529911525169</c:v>
                </c:pt>
                <c:pt idx="2">
                  <c:v>6.3164565691235612</c:v>
                </c:pt>
                <c:pt idx="3">
                  <c:v>1.0132117812763468</c:v>
                </c:pt>
                <c:pt idx="4">
                  <c:v>13.560275424260839</c:v>
                </c:pt>
                <c:pt idx="5">
                  <c:v>13.788</c:v>
                </c:pt>
                <c:pt idx="6">
                  <c:v>3.8022142631017557</c:v>
                </c:pt>
                <c:pt idx="7">
                  <c:v>7.307519492533368</c:v>
                </c:pt>
                <c:pt idx="8">
                  <c:v>1.9279098601907376</c:v>
                </c:pt>
                <c:pt idx="9">
                  <c:v>0.51167789648395889</c:v>
                </c:pt>
                <c:pt idx="10">
                  <c:v>0.62905380146621159</c:v>
                </c:pt>
                <c:pt idx="11">
                  <c:v>0.29071065153802728</c:v>
                </c:pt>
                <c:pt idx="12">
                  <c:v>1.8014872177726322</c:v>
                </c:pt>
                <c:pt idx="13">
                  <c:v>1.6729155978594794</c:v>
                </c:pt>
                <c:pt idx="14">
                  <c:v>2.5178538603609217</c:v>
                </c:pt>
                <c:pt idx="15">
                  <c:v>3.7254775023910236</c:v>
                </c:pt>
                <c:pt idx="16">
                  <c:v>16.385767790262172</c:v>
                </c:pt>
                <c:pt idx="17">
                  <c:v>12.320566991548846</c:v>
                </c:pt>
                <c:pt idx="18">
                  <c:v>10.414285714285715</c:v>
                </c:pt>
                <c:pt idx="19">
                  <c:v>30.027726666666666</c:v>
                </c:pt>
                <c:pt idx="20">
                  <c:v>27.648000000000003</c:v>
                </c:pt>
                <c:pt idx="21">
                  <c:v>53.681581818181812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Conduril!$C$38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BF-4D78-95AD-535B5A797B5F}"/>
                </c:ext>
              </c:extLst>
            </c:dLbl>
            <c:dLbl>
              <c:idx val="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EC-46B4-BE40-053EC2846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Conduril!$I$38:$AE$38</c:f>
              <c:numCache>
                <c:formatCode>0%</c:formatCode>
                <c:ptCount val="23"/>
                <c:pt idx="0">
                  <c:v>4.7599436002596904E-2</c:v>
                </c:pt>
                <c:pt idx="1">
                  <c:v>0.22077916155058197</c:v>
                </c:pt>
                <c:pt idx="2">
                  <c:v>0.1120417254495297</c:v>
                </c:pt>
                <c:pt idx="3">
                  <c:v>-0.21366904671216813</c:v>
                </c:pt>
                <c:pt idx="4">
                  <c:v>8.8360526920111135E-2</c:v>
                </c:pt>
                <c:pt idx="5">
                  <c:v>0.1</c:v>
                </c:pt>
                <c:pt idx="6">
                  <c:v>0.11690948371834982</c:v>
                </c:pt>
                <c:pt idx="7">
                  <c:v>0.35971874611534321</c:v>
                </c:pt>
                <c:pt idx="8">
                  <c:v>0.50444194105990225</c:v>
                </c:pt>
                <c:pt idx="9">
                  <c:v>0.73888009325392079</c:v>
                </c:pt>
                <c:pt idx="10">
                  <c:v>0.60128200049014868</c:v>
                </c:pt>
                <c:pt idx="11">
                  <c:v>0.52350040797087027</c:v>
                </c:pt>
                <c:pt idx="12">
                  <c:v>0.31059607518000759</c:v>
                </c:pt>
                <c:pt idx="13">
                  <c:v>0.33634367092114176</c:v>
                </c:pt>
                <c:pt idx="14">
                  <c:v>0.34389540493648124</c:v>
                </c:pt>
                <c:pt idx="15">
                  <c:v>0.25267458511528296</c:v>
                </c:pt>
                <c:pt idx="16">
                  <c:v>0.11313819679849341</c:v>
                </c:pt>
                <c:pt idx="17">
                  <c:v>9.2858874824191279E-2</c:v>
                </c:pt>
                <c:pt idx="18">
                  <c:v>0.11065197428833792</c:v>
                </c:pt>
                <c:pt idx="19">
                  <c:v>9.03954802259887E-2</c:v>
                </c:pt>
                <c:pt idx="20">
                  <c:v>7.5525812619502877E-2</c:v>
                </c:pt>
                <c:pt idx="21">
                  <c:v>3.7016264722378012E-2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Conduril!$C$39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F-4D78-95AD-535B5A797B5F}"/>
                </c:ext>
              </c:extLst>
            </c:dLbl>
            <c:dLbl>
              <c:idx val="1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C-46B4-BE40-053EC2846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Conduril!$I$39:$AE$39</c:f>
              <c:numCache>
                <c:formatCode>0%</c:formatCode>
                <c:ptCount val="23"/>
                <c:pt idx="0">
                  <c:v>7.6725955034649233E-3</c:v>
                </c:pt>
                <c:pt idx="1">
                  <c:v>8.1220016086378119E-2</c:v>
                </c:pt>
                <c:pt idx="2">
                  <c:v>4.9630571259386698E-2</c:v>
                </c:pt>
                <c:pt idx="3">
                  <c:v>3.5161367788721622E-2</c:v>
                </c:pt>
                <c:pt idx="4">
                  <c:v>2.5945315265943902E-2</c:v>
                </c:pt>
                <c:pt idx="5">
                  <c:v>0.04</c:v>
                </c:pt>
                <c:pt idx="6">
                  <c:v>0.13188883319429082</c:v>
                </c:pt>
                <c:pt idx="7">
                  <c:v>6.6317423531900344E-2</c:v>
                </c:pt>
                <c:pt idx="8">
                  <c:v>0.19771139052612013</c:v>
                </c:pt>
                <c:pt idx="9">
                  <c:v>0.43586767933588716</c:v>
                </c:pt>
                <c:pt idx="10">
                  <c:v>0.39723109763943742</c:v>
                </c:pt>
                <c:pt idx="11">
                  <c:v>0.27764803857404047</c:v>
                </c:pt>
                <c:pt idx="12">
                  <c:v>0.1416527487722701</c:v>
                </c:pt>
                <c:pt idx="13">
                  <c:v>0.14515563104095291</c:v>
                </c:pt>
                <c:pt idx="14">
                  <c:v>0.19454288114516363</c:v>
                </c:pt>
                <c:pt idx="15">
                  <c:v>0.1387030400958684</c:v>
                </c:pt>
                <c:pt idx="16">
                  <c:v>2.8962711864406777E-2</c:v>
                </c:pt>
                <c:pt idx="17">
                  <c:v>1.9863187998124709E-2</c:v>
                </c:pt>
                <c:pt idx="18">
                  <c:v>3.2139577594123045E-2</c:v>
                </c:pt>
                <c:pt idx="19">
                  <c:v>1.4124293785310734E-2</c:v>
                </c:pt>
                <c:pt idx="20">
                  <c:v>1.1950286806883367E-2</c:v>
                </c:pt>
                <c:pt idx="21">
                  <c:v>6.1693774537296695E-3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Conduril!$C$37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Conduril!$I$37:$AE$37</c:f>
              <c:numCache>
                <c:formatCode>0.0</c:formatCode>
                <c:ptCount val="23"/>
                <c:pt idx="0">
                  <c:v>0.43887120438613808</c:v>
                </c:pt>
                <c:pt idx="1">
                  <c:v>0.41640308241390317</c:v>
                </c:pt>
                <c:pt idx="2">
                  <c:v>0.31348934786070815</c:v>
                </c:pt>
                <c:pt idx="3" formatCode="0.00">
                  <c:v>3.5625912089323399E-2</c:v>
                </c:pt>
                <c:pt idx="4">
                  <c:v>0.35182562097547865</c:v>
                </c:pt>
                <c:pt idx="5">
                  <c:v>0.55152000000000001</c:v>
                </c:pt>
                <c:pt idx="6">
                  <c:v>0.50146960271518071</c:v>
                </c:pt>
                <c:pt idx="7">
                  <c:v>0.48461586515395283</c:v>
                </c:pt>
                <c:pt idx="8">
                  <c:v>0.38116973926732861</c:v>
                </c:pt>
                <c:pt idx="9">
                  <c:v>0.22302385730793142</c:v>
                </c:pt>
                <c:pt idx="10">
                  <c:v>0.24987973203068398</c:v>
                </c:pt>
                <c:pt idx="11">
                  <c:v>8.071524219211465E-2</c:v>
                </c:pt>
                <c:pt idx="12">
                  <c:v>0.25518561627560254</c:v>
                </c:pt>
                <c:pt idx="13">
                  <c:v>0.24283311928554574</c:v>
                </c:pt>
                <c:pt idx="14">
                  <c:v>0.48983054429708622</c:v>
                </c:pt>
                <c:pt idx="15">
                  <c:v>0.51673505539039777</c:v>
                </c:pt>
                <c:pt idx="16">
                  <c:v>0.47457627118644063</c:v>
                </c:pt>
                <c:pt idx="17">
                  <c:v>0.24472573839662448</c:v>
                </c:pt>
                <c:pt idx="18">
                  <c:v>0.33471074380165289</c:v>
                </c:pt>
                <c:pt idx="19">
                  <c:v>0.42412043314500941</c:v>
                </c:pt>
                <c:pt idx="20">
                  <c:v>0.33040152963671132</c:v>
                </c:pt>
                <c:pt idx="21">
                  <c:v>0.3311819405496354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Conduril!$C$41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Conduril!$I$41:$AE$41</c:f>
              <c:numCache>
                <c:formatCode>0.0</c:formatCode>
                <c:ptCount val="23"/>
                <c:pt idx="0">
                  <c:v>0.99851870145730981</c:v>
                </c:pt>
                <c:pt idx="1">
                  <c:v>1.1312349591468898</c:v>
                </c:pt>
                <c:pt idx="2">
                  <c:v>1.2364954393163377</c:v>
                </c:pt>
                <c:pt idx="3">
                  <c:v>1.5452614129532507</c:v>
                </c:pt>
                <c:pt idx="4">
                  <c:v>1.3056419915892783</c:v>
                </c:pt>
                <c:pt idx="5">
                  <c:v>1.1923076923076923</c:v>
                </c:pt>
                <c:pt idx="6">
                  <c:v>1.1091329624939663</c:v>
                </c:pt>
                <c:pt idx="7">
                  <c:v>1.221951781879242</c:v>
                </c:pt>
                <c:pt idx="8">
                  <c:v>1.5457925400933674</c:v>
                </c:pt>
                <c:pt idx="9">
                  <c:v>1.8441683638740576</c:v>
                </c:pt>
                <c:pt idx="10">
                  <c:v>1.3589973627172023</c:v>
                </c:pt>
                <c:pt idx="11">
                  <c:v>1.4579470935896837</c:v>
                </c:pt>
                <c:pt idx="12">
                  <c:v>1.4564230473611748</c:v>
                </c:pt>
                <c:pt idx="13">
                  <c:v>1.652924090600552</c:v>
                </c:pt>
                <c:pt idx="14">
                  <c:v>1.848671222969301</c:v>
                </c:pt>
                <c:pt idx="15">
                  <c:v>1.6347090025195803</c:v>
                </c:pt>
                <c:pt idx="16">
                  <c:v>1.9243316271800741</c:v>
                </c:pt>
                <c:pt idx="17">
                  <c:v>2.141474972304295</c:v>
                </c:pt>
                <c:pt idx="18">
                  <c:v>1.7014245014245015</c:v>
                </c:pt>
                <c:pt idx="19">
                  <c:v>2.0598739495798317</c:v>
                </c:pt>
                <c:pt idx="20">
                  <c:v>1.8440207972270364</c:v>
                </c:pt>
                <c:pt idx="21">
                  <c:v>1.5736079328756676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Conduril!$C$45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Conduril!$I$3:$AE$3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Conduril!$I$45:$AE$45</c:f>
              <c:numCache>
                <c:formatCode>0.0</c:formatCode>
                <c:ptCount val="23"/>
                <c:pt idx="0">
                  <c:v>3.8702609345997536</c:v>
                </c:pt>
                <c:pt idx="1">
                  <c:v>3.7788857331116659</c:v>
                </c:pt>
                <c:pt idx="2">
                  <c:v>2.5945998730446123</c:v>
                </c:pt>
                <c:pt idx="3">
                  <c:v>2.2100784825648545</c:v>
                </c:pt>
                <c:pt idx="4">
                  <c:v>1.99180971672</c:v>
                </c:pt>
                <c:pt idx="5">
                  <c:v>2.6</c:v>
                </c:pt>
                <c:pt idx="6">
                  <c:v>3.0711203408480303</c:v>
                </c:pt>
                <c:pt idx="7">
                  <c:v>3.2420937046001277</c:v>
                </c:pt>
                <c:pt idx="8">
                  <c:v>3.1275376848173564</c:v>
                </c:pt>
                <c:pt idx="9">
                  <c:v>2.6153919789231188</c:v>
                </c:pt>
                <c:pt idx="10">
                  <c:v>2.2313718984612643</c:v>
                </c:pt>
                <c:pt idx="11">
                  <c:v>1.9371764248990977</c:v>
                </c:pt>
                <c:pt idx="12">
                  <c:v>1.927404951828682</c:v>
                </c:pt>
                <c:pt idx="13">
                  <c:v>1.3583575356497877</c:v>
                </c:pt>
                <c:pt idx="14">
                  <c:v>1.0695390600133712</c:v>
                </c:pt>
                <c:pt idx="15">
                  <c:v>1.3630996993274958</c:v>
                </c:pt>
                <c:pt idx="16">
                  <c:v>1.3228160687382298</c:v>
                </c:pt>
                <c:pt idx="17">
                  <c:v>1.0660941022034693</c:v>
                </c:pt>
                <c:pt idx="18">
                  <c:v>1.0936639118457299</c:v>
                </c:pt>
                <c:pt idx="19">
                  <c:v>0.63135593220338981</c:v>
                </c:pt>
                <c:pt idx="20">
                  <c:v>0.77294455066921608</c:v>
                </c:pt>
                <c:pt idx="21">
                  <c:v>1.1149747616376893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'Corticeira Amorim'!$C$26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20"/>
              <c:layout>
                <c:manualLayout>
                  <c:x val="1.2997076023391813E-2"/>
                  <c:y val="-8.4666666666666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C5-4AB5-BB3C-33D3E3C0407C}"/>
                </c:ext>
              </c:extLst>
            </c:dLbl>
            <c:dLbl>
              <c:idx val="21"/>
              <c:layout>
                <c:manualLayout>
                  <c:x val="1.8567251461986943E-3"/>
                  <c:y val="-2.82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5-4AB5-BB3C-33D3E3C0407C}"/>
                </c:ext>
              </c:extLst>
            </c:dLbl>
            <c:dLbl>
              <c:idx val="22"/>
              <c:layout>
                <c:manualLayout>
                  <c:x val="1.8567251461988304E-3"/>
                  <c:y val="-5.644444444444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5-4AB5-BB3C-33D3E3C0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'Corticeira Amorim'!$D$26:$AA$26</c:f>
              <c:numCache>
                <c:formatCode>#,##0</c:formatCode>
                <c:ptCount val="24"/>
                <c:pt idx="0">
                  <c:v>122.98</c:v>
                </c:pt>
                <c:pt idx="1">
                  <c:v>97.955000000000013</c:v>
                </c:pt>
                <c:pt idx="2">
                  <c:v>142.31</c:v>
                </c:pt>
                <c:pt idx="3">
                  <c:v>117.04</c:v>
                </c:pt>
                <c:pt idx="4">
                  <c:v>106.4</c:v>
                </c:pt>
                <c:pt idx="5">
                  <c:v>152.94999999999999</c:v>
                </c:pt>
                <c:pt idx="6">
                  <c:v>140.98000000000002</c:v>
                </c:pt>
                <c:pt idx="7">
                  <c:v>196.84</c:v>
                </c:pt>
                <c:pt idx="8">
                  <c:v>260.68</c:v>
                </c:pt>
                <c:pt idx="9">
                  <c:v>260.68</c:v>
                </c:pt>
                <c:pt idx="10">
                  <c:v>107.73</c:v>
                </c:pt>
                <c:pt idx="11">
                  <c:v>125.02</c:v>
                </c:pt>
                <c:pt idx="12">
                  <c:v>147.43599999999998</c:v>
                </c:pt>
                <c:pt idx="13">
                  <c:v>170.37</c:v>
                </c:pt>
                <c:pt idx="14">
                  <c:v>201.92000000000002</c:v>
                </c:pt>
                <c:pt idx="15">
                  <c:v>277.57599999999996</c:v>
                </c:pt>
                <c:pt idx="16">
                  <c:v>379.31200000000001</c:v>
                </c:pt>
                <c:pt idx="17">
                  <c:v>747.31999999999994</c:v>
                </c:pt>
                <c:pt idx="18">
                  <c:v>1130.5</c:v>
                </c:pt>
                <c:pt idx="19">
                  <c:v>1369.9</c:v>
                </c:pt>
                <c:pt idx="20">
                  <c:v>1197</c:v>
                </c:pt>
                <c:pt idx="21">
                  <c:v>1502.9</c:v>
                </c:pt>
                <c:pt idx="22">
                  <c:v>1542.8</c:v>
                </c:pt>
                <c:pt idx="23">
                  <c:v>1500.24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'Corticeira Amorim'!$C$5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5-4AB5-BB3C-33D3E3C0407C}"/>
                </c:ext>
              </c:extLst>
            </c:dLbl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5-4AB5-BB3C-33D3E3C0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'Corticeira Amorim'!$D$5:$AA$5</c:f>
              <c:numCache>
                <c:formatCode>#,##0</c:formatCode>
                <c:ptCount val="24"/>
                <c:pt idx="0">
                  <c:v>71.5</c:v>
                </c:pt>
                <c:pt idx="1">
                  <c:v>71.5</c:v>
                </c:pt>
                <c:pt idx="2">
                  <c:v>133</c:v>
                </c:pt>
                <c:pt idx="3">
                  <c:v>133</c:v>
                </c:pt>
                <c:pt idx="4">
                  <c:v>133</c:v>
                </c:pt>
                <c:pt idx="5">
                  <c:v>133</c:v>
                </c:pt>
                <c:pt idx="6">
                  <c:v>133</c:v>
                </c:pt>
                <c:pt idx="7">
                  <c:v>133</c:v>
                </c:pt>
                <c:pt idx="8">
                  <c:v>133</c:v>
                </c:pt>
                <c:pt idx="9">
                  <c:v>133</c:v>
                </c:pt>
                <c:pt idx="10">
                  <c:v>133</c:v>
                </c:pt>
                <c:pt idx="11">
                  <c:v>133</c:v>
                </c:pt>
                <c:pt idx="12">
                  <c:v>127.1</c:v>
                </c:pt>
                <c:pt idx="13">
                  <c:v>126.2</c:v>
                </c:pt>
                <c:pt idx="14">
                  <c:v>126.2</c:v>
                </c:pt>
                <c:pt idx="15">
                  <c:v>125.6</c:v>
                </c:pt>
                <c:pt idx="16">
                  <c:v>125.6</c:v>
                </c:pt>
                <c:pt idx="17">
                  <c:v>125.6</c:v>
                </c:pt>
                <c:pt idx="18">
                  <c:v>133</c:v>
                </c:pt>
                <c:pt idx="19">
                  <c:v>133</c:v>
                </c:pt>
                <c:pt idx="20">
                  <c:v>133</c:v>
                </c:pt>
                <c:pt idx="21">
                  <c:v>133</c:v>
                </c:pt>
                <c:pt idx="22">
                  <c:v>133</c:v>
                </c:pt>
                <c:pt idx="23">
                  <c:v>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'Corticeira Amorim'!$C$6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'Corticeira Amorim'!$D$6:$AA$6</c:f>
              <c:numCache>
                <c:formatCode>#,##0</c:formatCode>
                <c:ptCount val="24"/>
                <c:pt idx="0">
                  <c:v>361.43</c:v>
                </c:pt>
                <c:pt idx="1">
                  <c:v>380.32</c:v>
                </c:pt>
                <c:pt idx="2">
                  <c:v>460.76799999999997</c:v>
                </c:pt>
                <c:pt idx="3">
                  <c:v>447.84899999999999</c:v>
                </c:pt>
                <c:pt idx="4">
                  <c:v>441.05200000000002</c:v>
                </c:pt>
                <c:pt idx="5">
                  <c:v>427.53899999999999</c:v>
                </c:pt>
                <c:pt idx="6">
                  <c:v>426.80900000000003</c:v>
                </c:pt>
                <c:pt idx="7">
                  <c:v>428.01</c:v>
                </c:pt>
                <c:pt idx="8">
                  <c:v>442.55200000000002</c:v>
                </c:pt>
                <c:pt idx="9">
                  <c:v>453.77</c:v>
                </c:pt>
                <c:pt idx="10">
                  <c:v>468.28899999999999</c:v>
                </c:pt>
                <c:pt idx="11">
                  <c:v>415.21</c:v>
                </c:pt>
                <c:pt idx="12">
                  <c:v>456.79</c:v>
                </c:pt>
                <c:pt idx="13">
                  <c:v>494.84199999999998</c:v>
                </c:pt>
                <c:pt idx="14">
                  <c:v>534.24</c:v>
                </c:pt>
                <c:pt idx="15">
                  <c:v>542.5</c:v>
                </c:pt>
                <c:pt idx="16">
                  <c:v>560.34</c:v>
                </c:pt>
                <c:pt idx="17">
                  <c:v>604.79999999999995</c:v>
                </c:pt>
                <c:pt idx="18">
                  <c:v>641.41099999999994</c:v>
                </c:pt>
                <c:pt idx="19">
                  <c:v>701.6</c:v>
                </c:pt>
                <c:pt idx="20">
                  <c:v>763.12</c:v>
                </c:pt>
                <c:pt idx="21">
                  <c:v>781.06</c:v>
                </c:pt>
                <c:pt idx="22">
                  <c:v>740.11</c:v>
                </c:pt>
                <c:pt idx="23">
                  <c:v>805.75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'Corticeira Amorim'!$C$27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'Corticeira Amorim'!$D$27:$AA$27</c:f>
              <c:numCache>
                <c:formatCode>0.0</c:formatCode>
                <c:ptCount val="24"/>
                <c:pt idx="0">
                  <c:v>0.34025952466591042</c:v>
                </c:pt>
                <c:pt idx="1">
                  <c:v>0.25755942364324785</c:v>
                </c:pt>
                <c:pt idx="2">
                  <c:v>0.30885391346621294</c:v>
                </c:pt>
                <c:pt idx="3">
                  <c:v>0.26133808493487765</c:v>
                </c:pt>
                <c:pt idx="4">
                  <c:v>0.24124139557240415</c:v>
                </c:pt>
                <c:pt idx="5">
                  <c:v>0.35774514137891511</c:v>
                </c:pt>
                <c:pt idx="6">
                  <c:v>0.33031168508630326</c:v>
                </c:pt>
                <c:pt idx="7">
                  <c:v>0.45989579682717696</c:v>
                </c:pt>
                <c:pt idx="8">
                  <c:v>0.58903812433341163</c:v>
                </c:pt>
                <c:pt idx="9">
                  <c:v>0.57447605615179498</c:v>
                </c:pt>
                <c:pt idx="10">
                  <c:v>0.23005024674933644</c:v>
                </c:pt>
                <c:pt idx="11">
                  <c:v>0.30110064786493584</c:v>
                </c:pt>
                <c:pt idx="12">
                  <c:v>0.32276538453118497</c:v>
                </c:pt>
                <c:pt idx="13">
                  <c:v>0.34429171331455294</c:v>
                </c:pt>
                <c:pt idx="14">
                  <c:v>0.37795747229709498</c:v>
                </c:pt>
                <c:pt idx="15">
                  <c:v>0.51166082949308744</c:v>
                </c:pt>
                <c:pt idx="16">
                  <c:v>0.67693186279758721</c:v>
                </c:pt>
                <c:pt idx="17">
                  <c:v>1.2356481481481481</c:v>
                </c:pt>
                <c:pt idx="18">
                  <c:v>1.7625204432103598</c:v>
                </c:pt>
                <c:pt idx="19">
                  <c:v>1.9525370581527937</c:v>
                </c:pt>
                <c:pt idx="20">
                  <c:v>1.5685606457699968</c:v>
                </c:pt>
                <c:pt idx="21">
                  <c:v>1.9241799605664101</c:v>
                </c:pt>
                <c:pt idx="22">
                  <c:v>2.0845549985812917</c:v>
                </c:pt>
                <c:pt idx="23">
                  <c:v>1.8619174681973316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'Corticeira Amorim'!$C$7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'Corticeira Amorim'!$D$7:$AA$7</c:f>
              <c:numCache>
                <c:formatCode>#,##0</c:formatCode>
                <c:ptCount val="24"/>
                <c:pt idx="0">
                  <c:v>51</c:v>
                </c:pt>
                <c:pt idx="1">
                  <c:v>51.835000000000001</c:v>
                </c:pt>
                <c:pt idx="2">
                  <c:v>64.771000000000001</c:v>
                </c:pt>
                <c:pt idx="3">
                  <c:v>23.882999999999999</c:v>
                </c:pt>
                <c:pt idx="4">
                  <c:v>46.073999999999998</c:v>
                </c:pt>
                <c:pt idx="5">
                  <c:v>51.606999999999999</c:v>
                </c:pt>
                <c:pt idx="6">
                  <c:v>47.069000000000003</c:v>
                </c:pt>
                <c:pt idx="7">
                  <c:v>49.51</c:v>
                </c:pt>
                <c:pt idx="8">
                  <c:v>55.948</c:v>
                </c:pt>
                <c:pt idx="9">
                  <c:v>58.125</c:v>
                </c:pt>
                <c:pt idx="10">
                  <c:v>48.366</c:v>
                </c:pt>
                <c:pt idx="11">
                  <c:v>38.521999999999998</c:v>
                </c:pt>
                <c:pt idx="12">
                  <c:v>66.006</c:v>
                </c:pt>
                <c:pt idx="13">
                  <c:v>72.436999999999998</c:v>
                </c:pt>
                <c:pt idx="14">
                  <c:v>82.465000000000003</c:v>
                </c:pt>
                <c:pt idx="15">
                  <c:v>78.126999999999995</c:v>
                </c:pt>
                <c:pt idx="16">
                  <c:v>86.721999999999994</c:v>
                </c:pt>
                <c:pt idx="17">
                  <c:v>100.72</c:v>
                </c:pt>
                <c:pt idx="18">
                  <c:v>122.34699999999999</c:v>
                </c:pt>
                <c:pt idx="19">
                  <c:v>133.6</c:v>
                </c:pt>
                <c:pt idx="20">
                  <c:v>133.97999999999999</c:v>
                </c:pt>
                <c:pt idx="21">
                  <c:v>124.72</c:v>
                </c:pt>
                <c:pt idx="22">
                  <c:v>122.51</c:v>
                </c:pt>
                <c:pt idx="23">
                  <c:v>137.82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'Corticeira Amorim'!$C$28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'Corticeira Amorim'!$D$28:$AA$28</c:f>
              <c:numCache>
                <c:formatCode>0.0</c:formatCode>
                <c:ptCount val="24"/>
                <c:pt idx="0">
                  <c:v>2.4113725490196081</c:v>
                </c:pt>
                <c:pt idx="1">
                  <c:v>1.8897463104080257</c:v>
                </c:pt>
                <c:pt idx="2">
                  <c:v>2.1971252566735111</c:v>
                </c:pt>
                <c:pt idx="3">
                  <c:v>4.9005568814638032</c:v>
                </c:pt>
                <c:pt idx="4">
                  <c:v>2.3093284715891826</c:v>
                </c:pt>
                <c:pt idx="5">
                  <c:v>2.9637452283604935</c:v>
                </c:pt>
                <c:pt idx="6">
                  <c:v>2.9951772929104084</c:v>
                </c:pt>
                <c:pt idx="7">
                  <c:v>3.9757624722278329</c:v>
                </c:pt>
                <c:pt idx="8">
                  <c:v>4.6593265174805181</c:v>
                </c:pt>
                <c:pt idx="9">
                  <c:v>4.4848172043010752</c:v>
                </c:pt>
                <c:pt idx="10">
                  <c:v>2.2273911425381465</c:v>
                </c:pt>
                <c:pt idx="11">
                  <c:v>3.2454182025855354</c:v>
                </c:pt>
                <c:pt idx="12">
                  <c:v>2.2336757264491105</c:v>
                </c:pt>
                <c:pt idx="13">
                  <c:v>2.3519748194983228</c:v>
                </c:pt>
                <c:pt idx="14">
                  <c:v>2.4485539319711394</c:v>
                </c:pt>
                <c:pt idx="15">
                  <c:v>3.5528818462247362</c:v>
                </c:pt>
                <c:pt idx="16">
                  <c:v>4.373884366135468</c:v>
                </c:pt>
                <c:pt idx="17">
                  <c:v>7.419777601270849</c:v>
                </c:pt>
                <c:pt idx="18">
                  <c:v>9.2401121400606474</c:v>
                </c:pt>
                <c:pt idx="19">
                  <c:v>10.25374251497006</c:v>
                </c:pt>
                <c:pt idx="20">
                  <c:v>8.9341692789968654</c:v>
                </c:pt>
                <c:pt idx="21">
                  <c:v>12.050192431045543</c:v>
                </c:pt>
                <c:pt idx="22">
                  <c:v>12.59325769324953</c:v>
                </c:pt>
                <c:pt idx="23">
                  <c:v>10.885502829777971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'Corticeira Amorim'!$C$32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DB-47DF-BF91-7D67006A0FE9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B-47DF-BF91-7D67006A0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'Corticeira Amorim'!$D$32:$AA$32</c:f>
              <c:numCache>
                <c:formatCode>0.0%</c:formatCode>
                <c:ptCount val="24"/>
                <c:pt idx="0">
                  <c:v>0.14110616163572476</c:v>
                </c:pt>
                <c:pt idx="1">
                  <c:v>0.13629312158182583</c:v>
                </c:pt>
                <c:pt idx="2">
                  <c:v>0.14057182790471562</c:v>
                </c:pt>
                <c:pt idx="3">
                  <c:v>5.3328242331678759E-2</c:v>
                </c:pt>
                <c:pt idx="4">
                  <c:v>0.10446387274062921</c:v>
                </c:pt>
                <c:pt idx="5">
                  <c:v>0.1207071167776507</c:v>
                </c:pt>
                <c:pt idx="6">
                  <c:v>0.11028117963773022</c:v>
                </c:pt>
                <c:pt idx="7">
                  <c:v>0.11567486740963996</c:v>
                </c:pt>
                <c:pt idx="8">
                  <c:v>0.12642130190350512</c:v>
                </c:pt>
                <c:pt idx="9">
                  <c:v>0.12809352755801398</c:v>
                </c:pt>
                <c:pt idx="10">
                  <c:v>0.10328237477284327</c:v>
                </c:pt>
                <c:pt idx="11">
                  <c:v>9.2777148912598445E-2</c:v>
                </c:pt>
                <c:pt idx="12">
                  <c:v>0.14449966067558395</c:v>
                </c:pt>
                <c:pt idx="13">
                  <c:v>0.14638409835866803</c:v>
                </c:pt>
                <c:pt idx="14">
                  <c:v>0.15435946391135072</c:v>
                </c:pt>
                <c:pt idx="15">
                  <c:v>0.14401290322580645</c:v>
                </c:pt>
                <c:pt idx="16">
                  <c:v>0.1547667487596816</c:v>
                </c:pt>
                <c:pt idx="17">
                  <c:v>0.16653439153439153</c:v>
                </c:pt>
                <c:pt idx="18">
                  <c:v>0.19074665074343908</c:v>
                </c:pt>
                <c:pt idx="19">
                  <c:v>0.19042189281641961</c:v>
                </c:pt>
                <c:pt idx="20">
                  <c:v>0.17556871789495754</c:v>
                </c:pt>
                <c:pt idx="21">
                  <c:v>0.1596804342816173</c:v>
                </c:pt>
                <c:pt idx="22">
                  <c:v>0.16552944832524896</c:v>
                </c:pt>
                <c:pt idx="23">
                  <c:v>0.17104560968042196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'Corticeira Amorim'!$C$33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B-47DF-BF91-7D67006A0FE9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B-47DF-BF91-7D67006A0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'Corticeira Amorim'!$D$33:$AA$33</c:f>
              <c:numCache>
                <c:formatCode>0.0%</c:formatCode>
                <c:ptCount val="24"/>
                <c:pt idx="0">
                  <c:v>7.2462164181169242E-2</c:v>
                </c:pt>
                <c:pt idx="1">
                  <c:v>7.4240113588557005E-2</c:v>
                </c:pt>
                <c:pt idx="2">
                  <c:v>8.672694284325301E-2</c:v>
                </c:pt>
                <c:pt idx="3">
                  <c:v>-8.7909094359929357E-3</c:v>
                </c:pt>
                <c:pt idx="4">
                  <c:v>3.3526658988055832E-2</c:v>
                </c:pt>
                <c:pt idx="5">
                  <c:v>4.8479787808831477E-2</c:v>
                </c:pt>
                <c:pt idx="6">
                  <c:v>5.9164638046526663E-2</c:v>
                </c:pt>
                <c:pt idx="7">
                  <c:v>6.2643396182332195E-2</c:v>
                </c:pt>
                <c:pt idx="8">
                  <c:v>7.7168332760895894E-2</c:v>
                </c:pt>
                <c:pt idx="9">
                  <c:v>8.1508253079754053E-2</c:v>
                </c:pt>
                <c:pt idx="10">
                  <c:v>5.4549647760250619E-2</c:v>
                </c:pt>
                <c:pt idx="11">
                  <c:v>4.3195009754100337E-2</c:v>
                </c:pt>
                <c:pt idx="12">
                  <c:v>9.8817837518334464E-2</c:v>
                </c:pt>
                <c:pt idx="13">
                  <c:v>0.10382708015891942</c:v>
                </c:pt>
                <c:pt idx="14">
                  <c:v>0.11466569332135369</c:v>
                </c:pt>
                <c:pt idx="15">
                  <c:v>0.10435207373271889</c:v>
                </c:pt>
                <c:pt idx="16">
                  <c:v>0.11490523610664952</c:v>
                </c:pt>
                <c:pt idx="17">
                  <c:v>0.1251140873015873</c:v>
                </c:pt>
                <c:pt idx="18">
                  <c:v>0.14972770969004276</c:v>
                </c:pt>
                <c:pt idx="19">
                  <c:v>0.14823261117445838</c:v>
                </c:pt>
                <c:pt idx="20">
                  <c:v>0.13459220044029771</c:v>
                </c:pt>
                <c:pt idx="21">
                  <c:v>0.11465188333802781</c:v>
                </c:pt>
                <c:pt idx="22">
                  <c:v>0.11615840888516571</c:v>
                </c:pt>
                <c:pt idx="23">
                  <c:v>0.12131554452373565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'Corticeira Amorim'!$C$35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B-47DF-BF91-7D67006A0FE9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B-47DF-BF91-7D67006A0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'Corticeira Amorim'!$D$35:$AA$35</c:f>
              <c:numCache>
                <c:formatCode>0.0%</c:formatCode>
                <c:ptCount val="24"/>
                <c:pt idx="0">
                  <c:v>4.8789530476164127E-2</c:v>
                </c:pt>
                <c:pt idx="1">
                  <c:v>4.5850862431636517E-2</c:v>
                </c:pt>
                <c:pt idx="2">
                  <c:v>4.1432998819362458E-2</c:v>
                </c:pt>
                <c:pt idx="3">
                  <c:v>-3.3241114750730716E-2</c:v>
                </c:pt>
                <c:pt idx="4">
                  <c:v>3.4168306684926038E-3</c:v>
                </c:pt>
                <c:pt idx="5">
                  <c:v>1.8987741469199303E-2</c:v>
                </c:pt>
                <c:pt idx="6">
                  <c:v>3.5519400949839387E-2</c:v>
                </c:pt>
                <c:pt idx="7">
                  <c:v>3.6791196467372257E-2</c:v>
                </c:pt>
                <c:pt idx="8">
                  <c:v>4.5427429996926907E-2</c:v>
                </c:pt>
                <c:pt idx="9">
                  <c:v>5.1226392225136086E-2</c:v>
                </c:pt>
                <c:pt idx="10">
                  <c:v>1.3139322085293483E-2</c:v>
                </c:pt>
                <c:pt idx="11">
                  <c:v>1.2309433780496617E-2</c:v>
                </c:pt>
                <c:pt idx="12">
                  <c:v>4.4955012150003283E-2</c:v>
                </c:pt>
                <c:pt idx="13">
                  <c:v>5.107488855028474E-2</c:v>
                </c:pt>
                <c:pt idx="14">
                  <c:v>5.9546271338724172E-2</c:v>
                </c:pt>
                <c:pt idx="15">
                  <c:v>5.2097695852534563E-2</c:v>
                </c:pt>
                <c:pt idx="16">
                  <c:v>6.3811257450833422E-2</c:v>
                </c:pt>
                <c:pt idx="17">
                  <c:v>9.0958994708994712E-2</c:v>
                </c:pt>
                <c:pt idx="18">
                  <c:v>0.16012042200710622</c:v>
                </c:pt>
                <c:pt idx="19">
                  <c:v>0.1040863740022805</c:v>
                </c:pt>
                <c:pt idx="20">
                  <c:v>0.10141262186812035</c:v>
                </c:pt>
                <c:pt idx="21">
                  <c:v>9.5959337310834003E-2</c:v>
                </c:pt>
                <c:pt idx="22">
                  <c:v>8.6919511964437715E-2</c:v>
                </c:pt>
                <c:pt idx="23">
                  <c:v>8.9159168476574624E-2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Altri!$C$32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8E-40F0-9865-E735AB3D7ED9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2-41F5-97B7-6A01FD41D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Altri!$D$3:$T$3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cat>
          <c:val>
            <c:numRef>
              <c:f>Altri!$D$32:$T$32</c:f>
              <c:numCache>
                <c:formatCode>0.0%</c:formatCode>
                <c:ptCount val="17"/>
                <c:pt idx="0">
                  <c:v>0.132013201320132</c:v>
                </c:pt>
                <c:pt idx="1">
                  <c:v>0.21371380652976346</c:v>
                </c:pt>
                <c:pt idx="2">
                  <c:v>0.24400499147599369</c:v>
                </c:pt>
                <c:pt idx="3">
                  <c:v>0.24459799981440108</c:v>
                </c:pt>
                <c:pt idx="4">
                  <c:v>0.166335603939162</c:v>
                </c:pt>
                <c:pt idx="5">
                  <c:v>0.31995075712912463</c:v>
                </c:pt>
                <c:pt idx="6">
                  <c:v>0.23247952125145396</c:v>
                </c:pt>
                <c:pt idx="7">
                  <c:v>0.26352779062205822</c:v>
                </c:pt>
                <c:pt idx="8">
                  <c:v>0.24695627267186079</c:v>
                </c:pt>
                <c:pt idx="9">
                  <c:v>0.20536014672845471</c:v>
                </c:pt>
                <c:pt idx="10">
                  <c:v>0.33258075433384726</c:v>
                </c:pt>
                <c:pt idx="11">
                  <c:v>0.27343362242365665</c:v>
                </c:pt>
                <c:pt idx="12">
                  <c:v>0.2870291793523076</c:v>
                </c:pt>
                <c:pt idx="13">
                  <c:v>0.37292152440655935</c:v>
                </c:pt>
                <c:pt idx="14">
                  <c:v>0.3094012103195668</c:v>
                </c:pt>
                <c:pt idx="15">
                  <c:v>0.21180865751644604</c:v>
                </c:pt>
                <c:pt idx="16">
                  <c:v>0.33857300749109664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Altri!$C$33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8E-40F0-9865-E735AB3D7ED9}"/>
                </c:ext>
              </c:extLst>
            </c:dLbl>
            <c:dLbl>
              <c:idx val="1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2-41F5-97B7-6A01FD41D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Altri!$D$3:$T$3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cat>
          <c:val>
            <c:numRef>
              <c:f>Altri!$D$33:$T$33</c:f>
              <c:numCache>
                <c:formatCode>0.0%</c:formatCode>
                <c:ptCount val="17"/>
                <c:pt idx="0">
                  <c:v>0.11881188118811881</c:v>
                </c:pt>
                <c:pt idx="1">
                  <c:v>0.1477318681616446</c:v>
                </c:pt>
                <c:pt idx="2">
                  <c:v>0.18070725409574254</c:v>
                </c:pt>
                <c:pt idx="3">
                  <c:v>0.14172978220677152</c:v>
                </c:pt>
                <c:pt idx="4">
                  <c:v>4.065773281784444E-2</c:v>
                </c:pt>
                <c:pt idx="5">
                  <c:v>0.21763790102262892</c:v>
                </c:pt>
                <c:pt idx="6">
                  <c:v>0.1250837440043403</c:v>
                </c:pt>
                <c:pt idx="7">
                  <c:v>0.17351384511087325</c:v>
                </c:pt>
                <c:pt idx="8">
                  <c:v>0.15498863896355211</c:v>
                </c:pt>
                <c:pt idx="9">
                  <c:v>0.11759800889197589</c:v>
                </c:pt>
                <c:pt idx="10">
                  <c:v>0.25311021697439173</c:v>
                </c:pt>
                <c:pt idx="11">
                  <c:v>0.18985430108931323</c:v>
                </c:pt>
                <c:pt idx="12">
                  <c:v>0.20638380002973961</c:v>
                </c:pt>
                <c:pt idx="13">
                  <c:v>0.29621701514977761</c:v>
                </c:pt>
                <c:pt idx="14">
                  <c:v>0.20941713557702518</c:v>
                </c:pt>
                <c:pt idx="15">
                  <c:v>8.6851295378867863E-2</c:v>
                </c:pt>
                <c:pt idx="16">
                  <c:v>0.23946948299152648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Altri!$C$35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8E-40F0-9865-E735AB3D7ED9}"/>
                </c:ext>
              </c:extLst>
            </c:dLbl>
            <c:dLbl>
              <c:idx val="1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2-41F5-97B7-6A01FD41D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Altri!$D$3:$T$3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cat>
          <c:val>
            <c:numRef>
              <c:f>Altri!$D$35:$T$35</c:f>
              <c:numCache>
                <c:formatCode>0.0%</c:formatCode>
                <c:ptCount val="17"/>
                <c:pt idx="0">
                  <c:v>4.8844884488448849E-2</c:v>
                </c:pt>
                <c:pt idx="1">
                  <c:v>7.0528902623388415E-2</c:v>
                </c:pt>
                <c:pt idx="2">
                  <c:v>8.3927276744709373E-2</c:v>
                </c:pt>
                <c:pt idx="3">
                  <c:v>1.6661074903452856E-2</c:v>
                </c:pt>
                <c:pt idx="4">
                  <c:v>-3.5237993727572518E-2</c:v>
                </c:pt>
                <c:pt idx="5">
                  <c:v>0.12393455334677653</c:v>
                </c:pt>
                <c:pt idx="6">
                  <c:v>4.6378765397593932E-2</c:v>
                </c:pt>
                <c:pt idx="7">
                  <c:v>9.6130074590983869E-2</c:v>
                </c:pt>
                <c:pt idx="8">
                  <c:v>9.6665741017271212E-2</c:v>
                </c:pt>
                <c:pt idx="9">
                  <c:v>6.7615915840957358E-2</c:v>
                </c:pt>
                <c:pt idx="10">
                  <c:v>0.17697288760200053</c:v>
                </c:pt>
                <c:pt idx="11">
                  <c:v>0.12567755544526005</c:v>
                </c:pt>
                <c:pt idx="12">
                  <c:v>0.1442941276309406</c:v>
                </c:pt>
                <c:pt idx="13">
                  <c:v>0.24782436960870505</c:v>
                </c:pt>
                <c:pt idx="14">
                  <c:v>0.13381197579360865</c:v>
                </c:pt>
                <c:pt idx="15">
                  <c:v>5.6817997238690812E-2</c:v>
                </c:pt>
                <c:pt idx="16">
                  <c:v>0.15357976175856566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970760233918127E-2"/>
          <c:y val="0.15140861111111109"/>
          <c:w val="0.88477470760233923"/>
          <c:h val="0.8203691666666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'Corticeira Amorim'!$C$12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Amorim'!$D$3:$AA$3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'Corticeira Amorim'!$D$12:$AA$12</c:f>
              <c:numCache>
                <c:formatCode>#,##0</c:formatCode>
                <c:ptCount val="24"/>
                <c:pt idx="0">
                  <c:v>17.634</c:v>
                </c:pt>
                <c:pt idx="1">
                  <c:v>17.437999999999999</c:v>
                </c:pt>
                <c:pt idx="2">
                  <c:v>19.091000000000001</c:v>
                </c:pt>
                <c:pt idx="3">
                  <c:v>-14.887</c:v>
                </c:pt>
                <c:pt idx="4">
                  <c:v>1.5069999999999999</c:v>
                </c:pt>
                <c:pt idx="5">
                  <c:v>8.1180000000000003</c:v>
                </c:pt>
                <c:pt idx="6">
                  <c:v>15.16</c:v>
                </c:pt>
                <c:pt idx="7">
                  <c:v>15.747</c:v>
                </c:pt>
                <c:pt idx="8">
                  <c:v>20.103999999999999</c:v>
                </c:pt>
                <c:pt idx="9">
                  <c:v>23.245000000000001</c:v>
                </c:pt>
                <c:pt idx="10">
                  <c:v>6.1529999999999996</c:v>
                </c:pt>
                <c:pt idx="11">
                  <c:v>5.1109999999999998</c:v>
                </c:pt>
                <c:pt idx="12">
                  <c:v>20.535</c:v>
                </c:pt>
                <c:pt idx="13">
                  <c:v>25.274000000000001</c:v>
                </c:pt>
                <c:pt idx="14">
                  <c:v>31.812000000000001</c:v>
                </c:pt>
                <c:pt idx="15">
                  <c:v>28.263000000000002</c:v>
                </c:pt>
                <c:pt idx="16">
                  <c:v>35.756</c:v>
                </c:pt>
                <c:pt idx="17">
                  <c:v>55.012</c:v>
                </c:pt>
                <c:pt idx="18">
                  <c:v>102.703</c:v>
                </c:pt>
                <c:pt idx="19">
                  <c:v>73.027000000000001</c:v>
                </c:pt>
                <c:pt idx="20">
                  <c:v>77.39</c:v>
                </c:pt>
                <c:pt idx="21">
                  <c:v>74.95</c:v>
                </c:pt>
                <c:pt idx="22">
                  <c:v>64.33</c:v>
                </c:pt>
                <c:pt idx="23">
                  <c:v>71.84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'Corticeira Amorim'!$C$36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B-4943-9141-EDD367CB1F99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'Corticeira Amorim'!$D$36:$AA$36</c:f>
              <c:numCache>
                <c:formatCode>0.0</c:formatCode>
                <c:ptCount val="24"/>
                <c:pt idx="0">
                  <c:v>6.9740274469774297</c:v>
                </c:pt>
                <c:pt idx="1">
                  <c:v>5.6173299690331469</c:v>
                </c:pt>
                <c:pt idx="2">
                  <c:v>7.4542978366769681</c:v>
                </c:pt>
                <c:pt idx="3">
                  <c:v>0</c:v>
                </c:pt>
                <c:pt idx="4">
                  <c:v>70.603848706038491</c:v>
                </c:pt>
                <c:pt idx="5">
                  <c:v>18.840847499384083</c:v>
                </c:pt>
                <c:pt idx="6">
                  <c:v>9.2994722955145122</c:v>
                </c:pt>
                <c:pt idx="7">
                  <c:v>12.500158760398806</c:v>
                </c:pt>
                <c:pt idx="8">
                  <c:v>12.966573816155989</c:v>
                </c:pt>
                <c:pt idx="9">
                  <c:v>11.214454721445472</c:v>
                </c:pt>
                <c:pt idx="10">
                  <c:v>17.508532423208194</c:v>
                </c:pt>
                <c:pt idx="11">
                  <c:v>24.460966542750931</c:v>
                </c:pt>
                <c:pt idx="12">
                  <c:v>7.1797419040662271</c:v>
                </c:pt>
                <c:pt idx="13">
                  <c:v>6.7409195220384586</c:v>
                </c:pt>
                <c:pt idx="14">
                  <c:v>6.3472903306928208</c:v>
                </c:pt>
                <c:pt idx="15">
                  <c:v>9.8211796341506545</c:v>
                </c:pt>
                <c:pt idx="16">
                  <c:v>10.608345452511466</c:v>
                </c:pt>
                <c:pt idx="17">
                  <c:v>13.584672435105066</c:v>
                </c:pt>
                <c:pt idx="18">
                  <c:v>11.007468136276447</c:v>
                </c:pt>
                <c:pt idx="19">
                  <c:v>18.758815232722146</c:v>
                </c:pt>
                <c:pt idx="20">
                  <c:v>15.467114614291251</c:v>
                </c:pt>
                <c:pt idx="21">
                  <c:v>20.052034689793196</c:v>
                </c:pt>
                <c:pt idx="22">
                  <c:v>23.982589771490751</c:v>
                </c:pt>
                <c:pt idx="23">
                  <c:v>20.883073496659243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280994152046787E-2"/>
          <c:y val="0.14435305555555553"/>
          <c:w val="0.91800847953216369"/>
          <c:h val="0.7773363888888889"/>
        </c:manualLayout>
      </c:layout>
      <c:lineChart>
        <c:grouping val="standard"/>
        <c:varyColors val="0"/>
        <c:ser>
          <c:idx val="0"/>
          <c:order val="0"/>
          <c:tx>
            <c:strRef>
              <c:f>'Corticeira Amorim'!$C$38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B-4D60-BA2C-0104216E5BF5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B-4D60-BA2C-0104216E5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Amorim'!$D$3:$AB$3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'Corticeira Amorim'!$D$38:$AB$38</c:f>
              <c:numCache>
                <c:formatCode>0%</c:formatCode>
                <c:ptCount val="25"/>
                <c:pt idx="0">
                  <c:v>0.16634908536585366</c:v>
                </c:pt>
                <c:pt idx="1">
                  <c:v>0.16477969069156698</c:v>
                </c:pt>
                <c:pt idx="2">
                  <c:v>0.18009455178039468</c:v>
                </c:pt>
                <c:pt idx="3">
                  <c:v>-1.9793368693597446E-2</c:v>
                </c:pt>
                <c:pt idx="4">
                  <c:v>7.8037427567208134E-2</c:v>
                </c:pt>
                <c:pt idx="5">
                  <c:v>0.10581046312178388</c:v>
                </c:pt>
                <c:pt idx="6">
                  <c:v>0.12387175260968526</c:v>
                </c:pt>
                <c:pt idx="7">
                  <c:v>0.12177143557858691</c:v>
                </c:pt>
                <c:pt idx="8">
                  <c:v>0.14799358641012308</c:v>
                </c:pt>
                <c:pt idx="9">
                  <c:v>0.15072333835934634</c:v>
                </c:pt>
                <c:pt idx="10">
                  <c:v>0.10353674551320505</c:v>
                </c:pt>
                <c:pt idx="11">
                  <c:v>7.1784506393964248E-2</c:v>
                </c:pt>
                <c:pt idx="12">
                  <c:v>0.16808728518497831</c:v>
                </c:pt>
                <c:pt idx="13">
                  <c:v>0.18200303232114268</c:v>
                </c:pt>
                <c:pt idx="14">
                  <c:v>0.20748460605732172</c:v>
                </c:pt>
                <c:pt idx="15">
                  <c:v>0.18761703072543306</c:v>
                </c:pt>
                <c:pt idx="16">
                  <c:v>0.20403144795591452</c:v>
                </c:pt>
                <c:pt idx="17">
                  <c:v>0.21367395865395206</c:v>
                </c:pt>
                <c:pt idx="18">
                  <c:v>0.22494103428326501</c:v>
                </c:pt>
                <c:pt idx="19">
                  <c:v>0.2415795586527294</c:v>
                </c:pt>
                <c:pt idx="20">
                  <c:v>0.22021869639794167</c:v>
                </c:pt>
                <c:pt idx="21">
                  <c:v>0.17576054955839057</c:v>
                </c:pt>
                <c:pt idx="22">
                  <c:v>0.15639439694378751</c:v>
                </c:pt>
                <c:pt idx="23">
                  <c:v>0.16720834758809441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'Corticeira Amorim'!$C$39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B-4D60-BA2C-0104216E5BF5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B-4D60-BA2C-0104216E5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Amorim'!$D$3:$AB$3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'Corticeira Amorim'!$D$39:$AB$39</c:f>
              <c:numCache>
                <c:formatCode>0%</c:formatCode>
                <c:ptCount val="25"/>
                <c:pt idx="0">
                  <c:v>0.11200457317073172</c:v>
                </c:pt>
                <c:pt idx="1">
                  <c:v>0.10176831047563466</c:v>
                </c:pt>
                <c:pt idx="2">
                  <c:v>8.6038514752871928E-2</c:v>
                </c:pt>
                <c:pt idx="3">
                  <c:v>-7.4844775143912926E-2</c:v>
                </c:pt>
                <c:pt idx="4">
                  <c:v>7.9530941599907107E-3</c:v>
                </c:pt>
                <c:pt idx="5">
                  <c:v>4.1442048517520216E-2</c:v>
                </c:pt>
                <c:pt idx="6">
                  <c:v>7.4366219292049299E-2</c:v>
                </c:pt>
                <c:pt idx="7">
                  <c:v>7.1517782935103982E-2</c:v>
                </c:pt>
                <c:pt idx="8">
                  <c:v>8.7120818166059974E-2</c:v>
                </c:pt>
                <c:pt idx="9">
                  <c:v>9.4726761481722987E-2</c:v>
                </c:pt>
                <c:pt idx="10">
                  <c:v>2.4938798009111394E-2</c:v>
                </c:pt>
                <c:pt idx="11">
                  <c:v>2.0456683143548999E-2</c:v>
                </c:pt>
                <c:pt idx="12">
                  <c:v>7.6467631123275426E-2</c:v>
                </c:pt>
                <c:pt idx="13">
                  <c:v>8.9531407195386353E-2</c:v>
                </c:pt>
                <c:pt idx="14">
                  <c:v>0.10774743772989305</c:v>
                </c:pt>
                <c:pt idx="15">
                  <c:v>9.3667664224142216E-2</c:v>
                </c:pt>
                <c:pt idx="16">
                  <c:v>0.11330644011293885</c:v>
                </c:pt>
                <c:pt idx="17">
                  <c:v>0.15534276670064637</c:v>
                </c:pt>
                <c:pt idx="18">
                  <c:v>0.24055435971546554</c:v>
                </c:pt>
                <c:pt idx="19">
                  <c:v>0.16963298490127759</c:v>
                </c:pt>
                <c:pt idx="20">
                  <c:v>0.16593053173241853</c:v>
                </c:pt>
                <c:pt idx="21">
                  <c:v>0.14710500490677136</c:v>
                </c:pt>
                <c:pt idx="22">
                  <c:v>0.1170274695288339</c:v>
                </c:pt>
                <c:pt idx="23">
                  <c:v>0.12288744440643175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'Corticeira Amorim'!$C$37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'Corticeira Amorim'!$D$3:$AB$3</c:f>
              <c:strCache>
                <c:ptCount val="25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  <c:pt idx="24">
                  <c:v>22*</c:v>
                </c:pt>
              </c:strCache>
            </c:strRef>
          </c:cat>
          <c:val>
            <c:numRef>
              <c:f>'Corticeira Amorim'!$D$37:$AB$37</c:f>
              <c:numCache>
                <c:formatCode>0.0</c:formatCode>
                <c:ptCount val="25"/>
                <c:pt idx="0">
                  <c:v>0.7811229674796748</c:v>
                </c:pt>
                <c:pt idx="1">
                  <c:v>0.5716661803326526</c:v>
                </c:pt>
                <c:pt idx="2">
                  <c:v>0.64135671439323261</c:v>
                </c:pt>
                <c:pt idx="3">
                  <c:v>0.58842160830547252</c:v>
                </c:pt>
                <c:pt idx="4">
                  <c:v>0.56151905681686254</c:v>
                </c:pt>
                <c:pt idx="5">
                  <c:v>0.78080331618067456</c:v>
                </c:pt>
                <c:pt idx="6">
                  <c:v>0.69156659602856929</c:v>
                </c:pt>
                <c:pt idx="7">
                  <c:v>0.89398364088054028</c:v>
                </c:pt>
                <c:pt idx="8">
                  <c:v>1.1296585196741205</c:v>
                </c:pt>
                <c:pt idx="9">
                  <c:v>1.0623089775459473</c:v>
                </c:pt>
                <c:pt idx="10">
                  <c:v>0.43664175353836682</c:v>
                </c:pt>
                <c:pt idx="11">
                  <c:v>0.50039024195000903</c:v>
                </c:pt>
                <c:pt idx="12">
                  <c:v>0.54901785548045945</c:v>
                </c:pt>
                <c:pt idx="13">
                  <c:v>0.60352401059895433</c:v>
                </c:pt>
                <c:pt idx="14">
                  <c:v>0.68390426965987694</c:v>
                </c:pt>
                <c:pt idx="15">
                  <c:v>0.91992695625660736</c:v>
                </c:pt>
                <c:pt idx="16">
                  <c:v>1.2019938587123578</c:v>
                </c:pt>
                <c:pt idx="17">
                  <c:v>2.1102806007912283</c:v>
                </c:pt>
                <c:pt idx="18">
                  <c:v>2.6478944496103698</c:v>
                </c:pt>
                <c:pt idx="19">
                  <c:v>3.1821138211382114</c:v>
                </c:pt>
                <c:pt idx="20">
                  <c:v>2.5664665523156089</c:v>
                </c:pt>
                <c:pt idx="21">
                  <c:v>2.9497546614327774</c:v>
                </c:pt>
                <c:pt idx="22">
                  <c:v>2.8066217937056575</c:v>
                </c:pt>
                <c:pt idx="23">
                  <c:v>2.5662675333561409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'Corticeira Amorim'!$C$41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'Corticeira Amorim'!$D$41:$AB$41</c:f>
              <c:numCache>
                <c:formatCode>0.0</c:formatCode>
                <c:ptCount val="25"/>
                <c:pt idx="0">
                  <c:v>1.5743422268778113</c:v>
                </c:pt>
                <c:pt idx="1">
                  <c:v>1.6590142169607787</c:v>
                </c:pt>
                <c:pt idx="2">
                  <c:v>1.5557953561654514</c:v>
                </c:pt>
                <c:pt idx="3">
                  <c:v>1.760868573513982</c:v>
                </c:pt>
                <c:pt idx="4">
                  <c:v>1.7056346172543841</c:v>
                </c:pt>
                <c:pt idx="5">
                  <c:v>1.5004646015830243</c:v>
                </c:pt>
                <c:pt idx="6">
                  <c:v>1.4589894897020312</c:v>
                </c:pt>
                <c:pt idx="7">
                  <c:v>1.8147849602163399</c:v>
                </c:pt>
                <c:pt idx="8">
                  <c:v>2.1384797799538964</c:v>
                </c:pt>
                <c:pt idx="9">
                  <c:v>2.2319427639539167</c:v>
                </c:pt>
                <c:pt idx="10">
                  <c:v>1.8211317418213968</c:v>
                </c:pt>
                <c:pt idx="11">
                  <c:v>1.8022024715838674</c:v>
                </c:pt>
                <c:pt idx="12">
                  <c:v>1.378999001099956</c:v>
                </c:pt>
                <c:pt idx="13">
                  <c:v>1.7499438249276333</c:v>
                </c:pt>
                <c:pt idx="14">
                  <c:v>1.6859695695413506</c:v>
                </c:pt>
                <c:pt idx="15">
                  <c:v>1.6640254965239312</c:v>
                </c:pt>
                <c:pt idx="16">
                  <c:v>1.7634501023128371</c:v>
                </c:pt>
                <c:pt idx="17">
                  <c:v>1.9899053344699178</c:v>
                </c:pt>
                <c:pt idx="18">
                  <c:v>2.316686317444276</c:v>
                </c:pt>
                <c:pt idx="19">
                  <c:v>2.1562950565493657</c:v>
                </c:pt>
                <c:pt idx="20">
                  <c:v>1.880787037037037</c:v>
                </c:pt>
                <c:pt idx="21">
                  <c:v>2.0142225031605561</c:v>
                </c:pt>
                <c:pt idx="22">
                  <c:v>2.4622205088666158</c:v>
                </c:pt>
                <c:pt idx="23">
                  <c:v>2.203274637009577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'Corticeira Amorim'!$C$45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'Corticeira Amorim'!$D$45:$AB$45</c:f>
              <c:numCache>
                <c:formatCode>0.0</c:formatCode>
                <c:ptCount val="25"/>
                <c:pt idx="0">
                  <c:v>1.7174161585365852</c:v>
                </c:pt>
                <c:pt idx="1">
                  <c:v>1.8846221184709659</c:v>
                </c:pt>
                <c:pt idx="2">
                  <c:v>1.7216040452658761</c:v>
                </c:pt>
                <c:pt idx="3">
                  <c:v>1.9873054975993565</c:v>
                </c:pt>
                <c:pt idx="4">
                  <c:v>2.010227668534879</c:v>
                </c:pt>
                <c:pt idx="5">
                  <c:v>1.9189434779057422</c:v>
                </c:pt>
                <c:pt idx="6">
                  <c:v>1.6152627344792403</c:v>
                </c:pt>
                <c:pt idx="7">
                  <c:v>1.4974634735651708</c:v>
                </c:pt>
                <c:pt idx="8">
                  <c:v>1.4336496793205062</c:v>
                </c:pt>
                <c:pt idx="9">
                  <c:v>1.4288479563144383</c:v>
                </c:pt>
                <c:pt idx="10">
                  <c:v>1.3294207292359075</c:v>
                </c:pt>
                <c:pt idx="11">
                  <c:v>1.1002221377253898</c:v>
                </c:pt>
                <c:pt idx="12">
                  <c:v>1.0918877655513972</c:v>
                </c:pt>
                <c:pt idx="13">
                  <c:v>1.1433586499086055</c:v>
                </c:pt>
                <c:pt idx="14">
                  <c:v>1.1804427494360636</c:v>
                </c:pt>
                <c:pt idx="15">
                  <c:v>1.0789860043680424</c:v>
                </c:pt>
                <c:pt idx="16">
                  <c:v>0.95661170774062088</c:v>
                </c:pt>
                <c:pt idx="17">
                  <c:v>0.92196999432416638</c:v>
                </c:pt>
                <c:pt idx="18">
                  <c:v>0.73967719344268446</c:v>
                </c:pt>
                <c:pt idx="19">
                  <c:v>1.0195121951219512</c:v>
                </c:pt>
                <c:pt idx="20">
                  <c:v>1.0713979416809605</c:v>
                </c:pt>
                <c:pt idx="21">
                  <c:v>0.95132482826300291</c:v>
                </c:pt>
                <c:pt idx="22">
                  <c:v>0.8295433873021647</c:v>
                </c:pt>
                <c:pt idx="23">
                  <c:v>0.87273349298665748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CTT!$C$26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CTT!$D$26:$M$26</c:f>
              <c:numCache>
                <c:formatCode>#,##0</c:formatCode>
                <c:ptCount val="10"/>
                <c:pt idx="0">
                  <c:v>838.5</c:v>
                </c:pt>
                <c:pt idx="1">
                  <c:v>1203</c:v>
                </c:pt>
                <c:pt idx="2">
                  <c:v>1327.5</c:v>
                </c:pt>
                <c:pt idx="3">
                  <c:v>964.46850000000006</c:v>
                </c:pt>
                <c:pt idx="4">
                  <c:v>525.87464999999997</c:v>
                </c:pt>
                <c:pt idx="5">
                  <c:v>441.90000000000003</c:v>
                </c:pt>
                <c:pt idx="6">
                  <c:v>478.5</c:v>
                </c:pt>
                <c:pt idx="7">
                  <c:v>352.5</c:v>
                </c:pt>
                <c:pt idx="8">
                  <c:v>683.25</c:v>
                </c:pt>
                <c:pt idx="9">
                  <c:v>742.5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CTT!$C$5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7-4499-BD21-84ADC3998BF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7-4499-BD21-84ADC3998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CTT!$D$5:$M$5</c:f>
              <c:numCache>
                <c:formatCode>#,##0</c:formatCode>
                <c:ptCount val="10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149.53</c:v>
                </c:pt>
                <c:pt idx="4">
                  <c:v>149.94999999999999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CTT!$C$6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CTT!$D$6:$M$6</c:f>
              <c:numCache>
                <c:formatCode>#,##0</c:formatCode>
                <c:ptCount val="10"/>
                <c:pt idx="0">
                  <c:v>704.84700799999996</c:v>
                </c:pt>
                <c:pt idx="1">
                  <c:v>718.77442199999996</c:v>
                </c:pt>
                <c:pt idx="2">
                  <c:v>727.2</c:v>
                </c:pt>
                <c:pt idx="3">
                  <c:v>696.8</c:v>
                </c:pt>
                <c:pt idx="4">
                  <c:v>714.3</c:v>
                </c:pt>
                <c:pt idx="5">
                  <c:v>717.47</c:v>
                </c:pt>
                <c:pt idx="6">
                  <c:v>740.29</c:v>
                </c:pt>
                <c:pt idx="7">
                  <c:v>745.24</c:v>
                </c:pt>
                <c:pt idx="8">
                  <c:v>835.56</c:v>
                </c:pt>
                <c:pt idx="9">
                  <c:v>880.73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CTT!$C$27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CTT!$D$27:$M$27</c:f>
              <c:numCache>
                <c:formatCode>0.0</c:formatCode>
                <c:ptCount val="10"/>
                <c:pt idx="0">
                  <c:v>1.1896198614494227</c:v>
                </c:pt>
                <c:pt idx="1">
                  <c:v>1.6736822613312192</c:v>
                </c:pt>
                <c:pt idx="2">
                  <c:v>1.8254950495049505</c:v>
                </c:pt>
                <c:pt idx="3">
                  <c:v>1.3841396383467282</c:v>
                </c:pt>
                <c:pt idx="4">
                  <c:v>0.73620978580428398</c:v>
                </c:pt>
                <c:pt idx="5">
                  <c:v>0.61591425425453328</c:v>
                </c:pt>
                <c:pt idx="6">
                  <c:v>0.64636831511975035</c:v>
                </c:pt>
                <c:pt idx="7">
                  <c:v>0.4730019859374161</c:v>
                </c:pt>
                <c:pt idx="8">
                  <c:v>0.81771506534539717</c:v>
                </c:pt>
                <c:pt idx="9">
                  <c:v>0.84305065116437494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CTT!$C$7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CTT!$D$7:$M$7</c:f>
              <c:numCache>
                <c:formatCode>#,##0</c:formatCode>
                <c:ptCount val="10"/>
                <c:pt idx="0">
                  <c:v>122.128889</c:v>
                </c:pt>
                <c:pt idx="1">
                  <c:v>135.1</c:v>
                </c:pt>
                <c:pt idx="2">
                  <c:v>144</c:v>
                </c:pt>
                <c:pt idx="3">
                  <c:v>119.5</c:v>
                </c:pt>
                <c:pt idx="4">
                  <c:v>89.9</c:v>
                </c:pt>
                <c:pt idx="5">
                  <c:v>90.4</c:v>
                </c:pt>
                <c:pt idx="6">
                  <c:v>101.56</c:v>
                </c:pt>
                <c:pt idx="7">
                  <c:v>90.5</c:v>
                </c:pt>
                <c:pt idx="8">
                  <c:v>120.28</c:v>
                </c:pt>
                <c:pt idx="9">
                  <c:v>133.04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CTT!$C$28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CTT!$D$28:$M$28</c:f>
              <c:numCache>
                <c:formatCode>0.0</c:formatCode>
                <c:ptCount val="10"/>
                <c:pt idx="0">
                  <c:v>6.8656974354364264</c:v>
                </c:pt>
                <c:pt idx="1">
                  <c:v>8.9045151739452262</c:v>
                </c:pt>
                <c:pt idx="2">
                  <c:v>9.21875</c:v>
                </c:pt>
                <c:pt idx="3">
                  <c:v>8.0708661087866123</c:v>
                </c:pt>
                <c:pt idx="4">
                  <c:v>5.8495511679644041</c:v>
                </c:pt>
                <c:pt idx="5">
                  <c:v>4.8882743362831862</c:v>
                </c:pt>
                <c:pt idx="6">
                  <c:v>4.711500590783773</c:v>
                </c:pt>
                <c:pt idx="7">
                  <c:v>3.8950276243093924</c:v>
                </c:pt>
                <c:pt idx="8">
                  <c:v>5.6804955104755566</c:v>
                </c:pt>
                <c:pt idx="9">
                  <c:v>5.5810282621767895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CTT!$C$32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DA-42AE-94A5-0C3C0CC868B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A-42AE-94A5-0C3C0CC86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CTT!$D$32:$M$32</c:f>
              <c:numCache>
                <c:formatCode>0.0%</c:formatCode>
                <c:ptCount val="10"/>
                <c:pt idx="0">
                  <c:v>0.17327006799183292</c:v>
                </c:pt>
                <c:pt idx="1">
                  <c:v>0.18795883084442869</c:v>
                </c:pt>
                <c:pt idx="2">
                  <c:v>0.198019801980198</c:v>
                </c:pt>
                <c:pt idx="3">
                  <c:v>0.17149827784156144</c:v>
                </c:pt>
                <c:pt idx="4">
                  <c:v>0.12585748285034301</c:v>
                </c:pt>
                <c:pt idx="5">
                  <c:v>0.12599829958047026</c:v>
                </c:pt>
                <c:pt idx="6">
                  <c:v>0.13718947979845736</c:v>
                </c:pt>
                <c:pt idx="7">
                  <c:v>0.12143738929740755</c:v>
                </c:pt>
                <c:pt idx="8">
                  <c:v>0.14395136196084066</c:v>
                </c:pt>
                <c:pt idx="9">
                  <c:v>0.15105650994061742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CTT!$C$33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DA-42AE-94A5-0C3C0CC868B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A-42AE-94A5-0C3C0CC86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CTT!$D$33:$M$33</c:f>
              <c:numCache>
                <c:formatCode>0.0%</c:formatCode>
                <c:ptCount val="10"/>
                <c:pt idx="0">
                  <c:v>0.13636008794691515</c:v>
                </c:pt>
                <c:pt idx="1">
                  <c:v>0.1883762079669552</c:v>
                </c:pt>
                <c:pt idx="2">
                  <c:v>0.15112761276127612</c:v>
                </c:pt>
                <c:pt idx="3">
                  <c:v>0.13045350172215844</c:v>
                </c:pt>
                <c:pt idx="4">
                  <c:v>8.4278314433711338E-2</c:v>
                </c:pt>
                <c:pt idx="5">
                  <c:v>7.9445830487685887E-2</c:v>
                </c:pt>
                <c:pt idx="6">
                  <c:v>6.3880371205878778E-2</c:v>
                </c:pt>
                <c:pt idx="7">
                  <c:v>4.6307229885674407E-2</c:v>
                </c:pt>
                <c:pt idx="8">
                  <c:v>7.6571401215950977E-2</c:v>
                </c:pt>
                <c:pt idx="9">
                  <c:v>8.3828187980425323E-2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CTT!$C$35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A-42AE-94A5-0C3C0CC868B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A-42AE-94A5-0C3C0CC86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CTT!$D$35:$M$35</c:f>
              <c:numCache>
                <c:formatCode>0.0%</c:formatCode>
                <c:ptCount val="10"/>
                <c:pt idx="0">
                  <c:v>8.6566398533963848E-2</c:v>
                </c:pt>
                <c:pt idx="1">
                  <c:v>0.10690925226050964</c:v>
                </c:pt>
                <c:pt idx="2">
                  <c:v>9.9147414741474135E-2</c:v>
                </c:pt>
                <c:pt idx="3">
                  <c:v>9.1704936854190594E-2</c:v>
                </c:pt>
                <c:pt idx="4">
                  <c:v>5.5998880022399555E-2</c:v>
                </c:pt>
                <c:pt idx="5">
                  <c:v>5.2963886991790596E-2</c:v>
                </c:pt>
                <c:pt idx="6">
                  <c:v>3.9444001675019248E-2</c:v>
                </c:pt>
                <c:pt idx="7">
                  <c:v>2.2368632923621921E-2</c:v>
                </c:pt>
                <c:pt idx="8">
                  <c:v>4.4736464167743795E-2</c:v>
                </c:pt>
                <c:pt idx="9">
                  <c:v>4.8823135353627103E-2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CTT!$C$12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CTT!$D$12:$M$12</c:f>
              <c:numCache>
                <c:formatCode>#,##0</c:formatCode>
                <c:ptCount val="10"/>
                <c:pt idx="0">
                  <c:v>61.016067</c:v>
                </c:pt>
                <c:pt idx="1">
                  <c:v>76.843636000000004</c:v>
                </c:pt>
                <c:pt idx="2">
                  <c:v>72.099999999999994</c:v>
                </c:pt>
                <c:pt idx="3">
                  <c:v>63.9</c:v>
                </c:pt>
                <c:pt idx="4">
                  <c:v>40</c:v>
                </c:pt>
                <c:pt idx="5">
                  <c:v>38</c:v>
                </c:pt>
                <c:pt idx="6">
                  <c:v>29.2</c:v>
                </c:pt>
                <c:pt idx="7">
                  <c:v>16.670000000000002</c:v>
                </c:pt>
                <c:pt idx="8">
                  <c:v>37.380000000000003</c:v>
                </c:pt>
                <c:pt idx="9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CTT!$C$36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CA-451D-943D-A31765B35ECE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CTT!$D$36:$M$36</c:f>
              <c:numCache>
                <c:formatCode>0.0</c:formatCode>
                <c:ptCount val="10"/>
                <c:pt idx="0">
                  <c:v>13.742282012375528</c:v>
                </c:pt>
                <c:pt idx="1">
                  <c:v>15.655167592538177</c:v>
                </c:pt>
                <c:pt idx="2">
                  <c:v>18.411927877947296</c:v>
                </c:pt>
                <c:pt idx="3">
                  <c:v>15.093403755868547</c:v>
                </c:pt>
                <c:pt idx="4">
                  <c:v>13.146866249999999</c:v>
                </c:pt>
                <c:pt idx="5">
                  <c:v>11.628947368421054</c:v>
                </c:pt>
                <c:pt idx="6">
                  <c:v>16.386986301369863</c:v>
                </c:pt>
                <c:pt idx="7">
                  <c:v>21.145770845830832</c:v>
                </c:pt>
                <c:pt idx="8">
                  <c:v>18.278491171749597</c:v>
                </c:pt>
                <c:pt idx="9">
                  <c:v>17.267441860465116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CTT!$C$38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EE-4727-823B-C96F1CF6D21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EE-4727-823B-C96F1CF6D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CTT!$D$38:$M$38</c:f>
              <c:numCache>
                <c:formatCode>0%</c:formatCode>
                <c:ptCount val="10"/>
                <c:pt idx="0">
                  <c:v>0.34831852442338807</c:v>
                </c:pt>
                <c:pt idx="1">
                  <c:v>0.543338683788122</c:v>
                </c:pt>
                <c:pt idx="2">
                  <c:v>0.4366309098132698</c:v>
                </c:pt>
                <c:pt idx="3">
                  <c:v>0.38946015424164526</c:v>
                </c:pt>
                <c:pt idx="4">
                  <c:v>0.32752992383025026</c:v>
                </c:pt>
                <c:pt idx="5">
                  <c:v>0.42004421518054536</c:v>
                </c:pt>
                <c:pt idx="6">
                  <c:v>0.36044207317073174</c:v>
                </c:pt>
                <c:pt idx="7">
                  <c:v>0.23006666666666664</c:v>
                </c:pt>
                <c:pt idx="8">
                  <c:v>0.40519316022799234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CTT!$C$39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E-4727-823B-C96F1CF6D21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E-4727-823B-C96F1CF6D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CTT!$D$39:$M$39</c:f>
              <c:numCache>
                <c:formatCode>0%</c:formatCode>
                <c:ptCount val="10"/>
                <c:pt idx="0">
                  <c:v>0.22112540887870091</c:v>
                </c:pt>
                <c:pt idx="1">
                  <c:v>0.30836130016051366</c:v>
                </c:pt>
                <c:pt idx="2">
                  <c:v>0.28645212554628524</c:v>
                </c:pt>
                <c:pt idx="3">
                  <c:v>0.27377892030848328</c:v>
                </c:pt>
                <c:pt idx="4">
                  <c:v>0.2176278563656148</c:v>
                </c:pt>
                <c:pt idx="5">
                  <c:v>0.28002947678703022</c:v>
                </c:pt>
                <c:pt idx="6">
                  <c:v>0.2225609756097561</c:v>
                </c:pt>
                <c:pt idx="7">
                  <c:v>0.11113333333333335</c:v>
                </c:pt>
                <c:pt idx="8">
                  <c:v>0.23673210892970234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CTT!$C$37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CTT!$D$3:$M$3</c:f>
              <c:strCach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21*</c:v>
                </c:pt>
                <c:pt idx="9">
                  <c:v>22*</c:v>
                </c:pt>
              </c:strCache>
            </c:strRef>
          </c:cat>
          <c:val>
            <c:numRef>
              <c:f>CTT!$D$37:$M$37</c:f>
              <c:numCache>
                <c:formatCode>0.0</c:formatCode>
                <c:ptCount val="10"/>
                <c:pt idx="0">
                  <c:v>3.0387677289129553</c:v>
                </c:pt>
                <c:pt idx="1">
                  <c:v>4.8274478330658104</c:v>
                </c:pt>
                <c:pt idx="2">
                  <c:v>5.2741358760429087</c:v>
                </c:pt>
                <c:pt idx="3">
                  <c:v>4.1322557840616971</c:v>
                </c:pt>
                <c:pt idx="4">
                  <c:v>2.8611243199129484</c:v>
                </c:pt>
                <c:pt idx="5">
                  <c:v>3.2564480471628596</c:v>
                </c:pt>
                <c:pt idx="6">
                  <c:v>3.6471036585365857</c:v>
                </c:pt>
                <c:pt idx="7">
                  <c:v>2.35</c:v>
                </c:pt>
                <c:pt idx="8">
                  <c:v>4.3271057631412289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CTT!$C$41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CTT!$D$41:$M$41</c:f>
              <c:numCache>
                <c:formatCode>0.0</c:formatCode>
                <c:ptCount val="10"/>
                <c:pt idx="0">
                  <c:v>1.4473893852526447</c:v>
                </c:pt>
                <c:pt idx="1">
                  <c:v>1.3451729065493563</c:v>
                </c:pt>
                <c:pt idx="2">
                  <c:v>1.3297391304347828</c:v>
                </c:pt>
                <c:pt idx="3">
                  <c:v>1.0509953305480462</c:v>
                </c:pt>
                <c:pt idx="4">
                  <c:v>0.81462346760070048</c:v>
                </c:pt>
                <c:pt idx="5">
                  <c:v>0.55105958797902976</c:v>
                </c:pt>
                <c:pt idx="6">
                  <c:v>0.41622084314145086</c:v>
                </c:pt>
                <c:pt idx="7">
                  <c:v>0.40351812366737744</c:v>
                </c:pt>
                <c:pt idx="8">
                  <c:v>0.6202650404597162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CTT!$C$45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CTT!$D$45:$M$45</c:f>
              <c:numCache>
                <c:formatCode>0.0</c:formatCode>
                <c:ptCount val="10"/>
                <c:pt idx="0">
                  <c:v>2.9869445586957086</c:v>
                </c:pt>
                <c:pt idx="1">
                  <c:v>3.7391130738362763</c:v>
                </c:pt>
                <c:pt idx="2">
                  <c:v>3.4471094715931669</c:v>
                </c:pt>
                <c:pt idx="3">
                  <c:v>4.6418166238217653</c:v>
                </c:pt>
                <c:pt idx="4">
                  <c:v>7.7524483133841136</c:v>
                </c:pt>
                <c:pt idx="5">
                  <c:v>12.665438467207077</c:v>
                </c:pt>
                <c:pt idx="6">
                  <c:v>18.157774390243905</c:v>
                </c:pt>
                <c:pt idx="7">
                  <c:v>18.3</c:v>
                </c:pt>
                <c:pt idx="8">
                  <c:v>20.751741608613045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Altri!$C$12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Altri!$D$3:$T$3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cat>
          <c:val>
            <c:numRef>
              <c:f>Altri!$D$12:$T$12</c:f>
              <c:numCache>
                <c:formatCode>#,##0</c:formatCode>
                <c:ptCount val="17"/>
                <c:pt idx="0">
                  <c:v>7.4</c:v>
                </c:pt>
                <c:pt idx="1">
                  <c:v>20.843789000000001</c:v>
                </c:pt>
                <c:pt idx="2">
                  <c:v>35.193702000000002</c:v>
                </c:pt>
                <c:pt idx="3">
                  <c:v>4.6680000000000001</c:v>
                </c:pt>
                <c:pt idx="4">
                  <c:v>-10.91</c:v>
                </c:pt>
                <c:pt idx="5">
                  <c:v>62.014000000000003</c:v>
                </c:pt>
                <c:pt idx="6">
                  <c:v>22.568000000000001</c:v>
                </c:pt>
                <c:pt idx="7">
                  <c:v>52.182000000000002</c:v>
                </c:pt>
                <c:pt idx="8">
                  <c:v>55.347999999999999</c:v>
                </c:pt>
                <c:pt idx="9">
                  <c:v>37.381999999999998</c:v>
                </c:pt>
                <c:pt idx="10">
                  <c:v>117.65600000000001</c:v>
                </c:pt>
                <c:pt idx="11">
                  <c:v>76.977000000000004</c:v>
                </c:pt>
                <c:pt idx="12">
                  <c:v>96.067999999999998</c:v>
                </c:pt>
                <c:pt idx="13">
                  <c:v>194.5</c:v>
                </c:pt>
                <c:pt idx="14">
                  <c:v>100.83</c:v>
                </c:pt>
                <c:pt idx="15">
                  <c:v>34.979999999999997</c:v>
                </c:pt>
                <c:pt idx="16">
                  <c:v>125.06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Altri!$C$36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Pt>
            <c:idx val="4"/>
            <c:marker>
              <c:symbol val="circle"/>
              <c:size val="5"/>
              <c:spPr>
                <a:noFill/>
                <a:ln w="12700">
                  <a:solidFill>
                    <a:srgbClr val="00B0F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E22-42BD-AAD8-7A43082E4C43}"/>
              </c:ext>
            </c:extLst>
          </c:dPt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2-42BD-AAD8-7A43082E4C4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2-42BD-AAD8-7A43082E4C43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Altri!$D$36:$T$36</c:f>
              <c:numCache>
                <c:formatCode>0.0</c:formatCode>
                <c:ptCount val="17"/>
                <c:pt idx="0">
                  <c:v>17.870270270270268</c:v>
                </c:pt>
                <c:pt idx="1">
                  <c:v>16.918229214467676</c:v>
                </c:pt>
                <c:pt idx="2">
                  <c:v>13.184177100777861</c:v>
                </c:pt>
                <c:pt idx="3">
                  <c:v>46.336760925449873</c:v>
                </c:pt>
                <c:pt idx="4">
                  <c:v>0</c:v>
                </c:pt>
                <c:pt idx="5">
                  <c:v>5.6224400941722825</c:v>
                </c:pt>
                <c:pt idx="6">
                  <c:v>10.905707196029775</c:v>
                </c:pt>
                <c:pt idx="7">
                  <c:v>6.2494538346556281</c:v>
                </c:pt>
                <c:pt idx="8">
                  <c:v>8.301857339018575</c:v>
                </c:pt>
                <c:pt idx="9">
                  <c:v>13.608752875715586</c:v>
                </c:pt>
                <c:pt idx="10">
                  <c:v>8.3163638063507168</c:v>
                </c:pt>
                <c:pt idx="11">
                  <c:v>10.286212764851838</c:v>
                </c:pt>
                <c:pt idx="12">
                  <c:v>11.039285714285713</c:v>
                </c:pt>
                <c:pt idx="13">
                  <c:v>6.1151979434447297</c:v>
                </c:pt>
                <c:pt idx="14">
                  <c:v>11.549840325300009</c:v>
                </c:pt>
                <c:pt idx="15">
                  <c:v>30.250463121783881</c:v>
                </c:pt>
                <c:pt idx="16">
                  <c:v>9.2018925309451465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EDP!$C$26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8567251461988304E-3"/>
                  <c:y val="-2.4694444444444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E-4031-BBD8-28ACCA500260}"/>
                </c:ext>
              </c:extLst>
            </c:dLbl>
            <c:dLbl>
              <c:idx val="11"/>
              <c:layout>
                <c:manualLayout>
                  <c:x val="1.8567251461988304E-3"/>
                  <c:y val="-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E-4031-BBD8-28ACCA500260}"/>
                </c:ext>
              </c:extLst>
            </c:dLbl>
            <c:dLbl>
              <c:idx val="12"/>
              <c:layout>
                <c:manualLayout>
                  <c:x val="0"/>
                  <c:y val="1.058333333333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E-4031-BBD8-28ACCA500260}"/>
                </c:ext>
              </c:extLst>
            </c:dLbl>
            <c:dLbl>
              <c:idx val="13"/>
              <c:layout>
                <c:manualLayout>
                  <c:x val="0"/>
                  <c:y val="-0.10230555555555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E-4031-BBD8-28ACCA500260}"/>
                </c:ext>
              </c:extLst>
            </c:dLbl>
            <c:dLbl>
              <c:idx val="16"/>
              <c:layout>
                <c:manualLayout>
                  <c:x val="0"/>
                  <c:y val="-6.702777777777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E-4031-BBD8-28ACCA500260}"/>
                </c:ext>
              </c:extLst>
            </c:dLbl>
            <c:dLbl>
              <c:idx val="17"/>
              <c:layout>
                <c:manualLayout>
                  <c:x val="1.4853801169590643E-2"/>
                  <c:y val="-6.35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E-4031-BBD8-28ACCA500260}"/>
                </c:ext>
              </c:extLst>
            </c:dLbl>
            <c:dLbl>
              <c:idx val="20"/>
              <c:layout>
                <c:manualLayout>
                  <c:x val="-1.8567251461988304E-3"/>
                  <c:y val="-8.8194444444444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E-4031-BBD8-28ACCA500260}"/>
                </c:ext>
              </c:extLst>
            </c:dLbl>
            <c:dLbl>
              <c:idx val="21"/>
              <c:layout>
                <c:manualLayout>
                  <c:x val="-1.8567251461988304E-3"/>
                  <c:y val="-5.291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E-4031-BBD8-28ACCA500260}"/>
                </c:ext>
              </c:extLst>
            </c:dLbl>
            <c:dLbl>
              <c:idx val="22"/>
              <c:layout>
                <c:manualLayout>
                  <c:x val="5.5701754385963547E-3"/>
                  <c:y val="-9.8777777777777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E-4031-BBD8-28ACCA500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EDP!$F$26:$AC$26</c:f>
              <c:numCache>
                <c:formatCode>#,##0</c:formatCode>
                <c:ptCount val="24"/>
                <c:pt idx="0">
                  <c:v>12054.6</c:v>
                </c:pt>
                <c:pt idx="1">
                  <c:v>12235.6</c:v>
                </c:pt>
                <c:pt idx="2">
                  <c:v>8470.7999999999993</c:v>
                </c:pt>
                <c:pt idx="3">
                  <c:v>5538.6</c:v>
                </c:pt>
                <c:pt idx="4">
                  <c:v>7276.1999999999989</c:v>
                </c:pt>
                <c:pt idx="5">
                  <c:v>8072.6</c:v>
                </c:pt>
                <c:pt idx="6">
                  <c:v>9412</c:v>
                </c:pt>
                <c:pt idx="7">
                  <c:v>13900.8</c:v>
                </c:pt>
                <c:pt idx="8">
                  <c:v>16181.4</c:v>
                </c:pt>
                <c:pt idx="9">
                  <c:v>9774</c:v>
                </c:pt>
                <c:pt idx="10">
                  <c:v>11258.199999999999</c:v>
                </c:pt>
                <c:pt idx="11">
                  <c:v>9013.8000000000011</c:v>
                </c:pt>
                <c:pt idx="12">
                  <c:v>8661.36</c:v>
                </c:pt>
                <c:pt idx="13">
                  <c:v>8298.9600000000009</c:v>
                </c:pt>
                <c:pt idx="14">
                  <c:v>9684.09</c:v>
                </c:pt>
                <c:pt idx="15">
                  <c:v>11695.04</c:v>
                </c:pt>
                <c:pt idx="16">
                  <c:v>12064.88</c:v>
                </c:pt>
                <c:pt idx="17">
                  <c:v>10747.91</c:v>
                </c:pt>
                <c:pt idx="18">
                  <c:v>10570.792870000001</c:v>
                </c:pt>
                <c:pt idx="19">
                  <c:v>11082.62</c:v>
                </c:pt>
                <c:pt idx="20">
                  <c:v>14140.98</c:v>
                </c:pt>
                <c:pt idx="21">
                  <c:v>19407.183999999997</c:v>
                </c:pt>
                <c:pt idx="22">
                  <c:v>19187.871999999999</c:v>
                </c:pt>
                <c:pt idx="23">
                  <c:v>16234.114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EDP!$C$5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5E-4031-BBD8-28ACCA500260}"/>
                </c:ext>
              </c:extLst>
            </c:dLbl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5E-4031-BBD8-28ACCA500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EDP!$F$3:$AC$3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EDP!$F$5:$AC$5</c:f>
              <c:numCache>
                <c:formatCode>#,##0</c:formatCode>
                <c:ptCount val="24"/>
                <c:pt idx="0">
                  <c:v>3620</c:v>
                </c:pt>
                <c:pt idx="1">
                  <c:v>3620</c:v>
                </c:pt>
                <c:pt idx="2">
                  <c:v>3620</c:v>
                </c:pt>
                <c:pt idx="3">
                  <c:v>3620</c:v>
                </c:pt>
                <c:pt idx="4">
                  <c:v>3620</c:v>
                </c:pt>
                <c:pt idx="5">
                  <c:v>3620</c:v>
                </c:pt>
                <c:pt idx="6">
                  <c:v>3620</c:v>
                </c:pt>
                <c:pt idx="7">
                  <c:v>3620</c:v>
                </c:pt>
                <c:pt idx="8">
                  <c:v>3620</c:v>
                </c:pt>
                <c:pt idx="9">
                  <c:v>3620</c:v>
                </c:pt>
                <c:pt idx="10">
                  <c:v>3620</c:v>
                </c:pt>
                <c:pt idx="11">
                  <c:v>3620</c:v>
                </c:pt>
                <c:pt idx="12">
                  <c:v>3624</c:v>
                </c:pt>
                <c:pt idx="13">
                  <c:v>3624</c:v>
                </c:pt>
                <c:pt idx="14">
                  <c:v>3627</c:v>
                </c:pt>
                <c:pt idx="15">
                  <c:v>3632</c:v>
                </c:pt>
                <c:pt idx="16">
                  <c:v>3634</c:v>
                </c:pt>
                <c:pt idx="17">
                  <c:v>3719</c:v>
                </c:pt>
                <c:pt idx="18">
                  <c:v>3749</c:v>
                </c:pt>
                <c:pt idx="19">
                  <c:v>3719</c:v>
                </c:pt>
                <c:pt idx="20">
                  <c:v>3741</c:v>
                </c:pt>
                <c:pt idx="21">
                  <c:v>3764</c:v>
                </c:pt>
                <c:pt idx="22">
                  <c:v>3971</c:v>
                </c:pt>
                <c:pt idx="23">
                  <c:v>3977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EDP!$C$6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-6.35000000000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1-45A6-9A57-87DF0A2AE4FE}"/>
                </c:ext>
              </c:extLst>
            </c:dLbl>
            <c:dLbl>
              <c:idx val="5"/>
              <c:layout>
                <c:manualLayout>
                  <c:x val="-3.4039567785653453E-17"/>
                  <c:y val="-2.82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1-45A6-9A57-87DF0A2AE4FE}"/>
                </c:ext>
              </c:extLst>
            </c:dLbl>
            <c:dLbl>
              <c:idx val="8"/>
              <c:layout>
                <c:manualLayout>
                  <c:x val="0"/>
                  <c:y val="-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1-45A6-9A57-87DF0A2AE4FE}"/>
                </c:ext>
              </c:extLst>
            </c:dLbl>
            <c:dLbl>
              <c:idx val="14"/>
              <c:layout>
                <c:manualLayout>
                  <c:x val="-1.8567251461989666E-3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B1-45A6-9A57-87DF0A2AE4FE}"/>
                </c:ext>
              </c:extLst>
            </c:dLbl>
            <c:dLbl>
              <c:idx val="20"/>
              <c:layout>
                <c:manualLayout>
                  <c:x val="-1.3615827114261381E-16"/>
                  <c:y val="-5.9972222222222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B1-45A6-9A57-87DF0A2AE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EDP!$F$3:$AA$3</c:f>
              <c:numCache>
                <c:formatCode>General</c:formatCode>
                <c:ptCount val="22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cat>
          <c:val>
            <c:numRef>
              <c:f>EDP!$F$6:$AA$6</c:f>
              <c:numCache>
                <c:formatCode>#,##0</c:formatCode>
                <c:ptCount val="22"/>
                <c:pt idx="0">
                  <c:v>3079.3161150000001</c:v>
                </c:pt>
                <c:pt idx="1">
                  <c:v>4125.7401609999997</c:v>
                </c:pt>
                <c:pt idx="2">
                  <c:v>5948.2100890000002</c:v>
                </c:pt>
                <c:pt idx="3">
                  <c:v>5988.14</c:v>
                </c:pt>
                <c:pt idx="4">
                  <c:v>6456.3609999999999</c:v>
                </c:pt>
                <c:pt idx="5">
                  <c:v>6699.2939999999999</c:v>
                </c:pt>
                <c:pt idx="6">
                  <c:v>9248.7049999999999</c:v>
                </c:pt>
                <c:pt idx="7">
                  <c:v>10349.825999999999</c:v>
                </c:pt>
                <c:pt idx="8">
                  <c:v>11010.778</c:v>
                </c:pt>
                <c:pt idx="9">
                  <c:v>13894.063</c:v>
                </c:pt>
                <c:pt idx="10">
                  <c:v>12198.009</c:v>
                </c:pt>
                <c:pt idx="11">
                  <c:v>14170.742</c:v>
                </c:pt>
                <c:pt idx="12">
                  <c:v>15120.851000000001</c:v>
                </c:pt>
                <c:pt idx="13">
                  <c:v>16339.853999999999</c:v>
                </c:pt>
                <c:pt idx="14">
                  <c:v>16280.161</c:v>
                </c:pt>
                <c:pt idx="15">
                  <c:v>16293.883</c:v>
                </c:pt>
                <c:pt idx="16">
                  <c:v>15516.799000000001</c:v>
                </c:pt>
                <c:pt idx="17">
                  <c:v>14595.164000000001</c:v>
                </c:pt>
                <c:pt idx="18">
                  <c:v>15745.986999999999</c:v>
                </c:pt>
                <c:pt idx="19">
                  <c:v>15278</c:v>
                </c:pt>
                <c:pt idx="20">
                  <c:v>14333</c:v>
                </c:pt>
                <c:pt idx="21">
                  <c:v>12448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EDP!$C$27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EDP!$F$27:$AA$27</c:f>
              <c:numCache>
                <c:formatCode>0.0</c:formatCode>
                <c:ptCount val="22"/>
                <c:pt idx="0">
                  <c:v>3.9147003911938416</c:v>
                </c:pt>
                <c:pt idx="1">
                  <c:v>2.965673920927276</c:v>
                </c:pt>
                <c:pt idx="2">
                  <c:v>1.4240922686414548</c:v>
                </c:pt>
                <c:pt idx="3">
                  <c:v>0.9249282748900326</c:v>
                </c:pt>
                <c:pt idx="4">
                  <c:v>1.1269815922622666</c:v>
                </c:pt>
                <c:pt idx="5">
                  <c:v>1.2049926454936895</c:v>
                </c:pt>
                <c:pt idx="6">
                  <c:v>1.0176559853514626</c:v>
                </c:pt>
                <c:pt idx="7">
                  <c:v>1.3430950433369604</c:v>
                </c:pt>
                <c:pt idx="8">
                  <c:v>1.4695964263379027</c:v>
                </c:pt>
                <c:pt idx="9">
                  <c:v>0.7034659336149548</c:v>
                </c:pt>
                <c:pt idx="10">
                  <c:v>0.92295390173920999</c:v>
                </c:pt>
                <c:pt idx="11">
                  <c:v>0.63608525227542789</c:v>
                </c:pt>
                <c:pt idx="12">
                  <c:v>0.57280903039121278</c:v>
                </c:pt>
                <c:pt idx="13">
                  <c:v>0.50789682698511263</c:v>
                </c:pt>
                <c:pt idx="14">
                  <c:v>0.59483994046496225</c:v>
                </c:pt>
                <c:pt idx="15">
                  <c:v>0.71775647339556825</c:v>
                </c:pt>
                <c:pt idx="16">
                  <c:v>0.77753665559501017</c:v>
                </c:pt>
                <c:pt idx="17">
                  <c:v>0.73640213977725766</c:v>
                </c:pt>
                <c:pt idx="18">
                  <c:v>0.67133250332291028</c:v>
                </c:pt>
                <c:pt idx="19">
                  <c:v>0.72539730331195185</c:v>
                </c:pt>
                <c:pt idx="20">
                  <c:v>0.98660294425451756</c:v>
                </c:pt>
                <c:pt idx="21">
                  <c:v>1.5590604113110538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EDP!$C$7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3.7134502923976609E-3"/>
                  <c:y val="-6.35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A-4DDE-BB81-6CFEFF17938C}"/>
                </c:ext>
              </c:extLst>
            </c:dLbl>
            <c:dLbl>
              <c:idx val="6"/>
              <c:layout>
                <c:manualLayout>
                  <c:x val="3.7134502923976609E-3"/>
                  <c:y val="-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A-4DDE-BB81-6CFEFF17938C}"/>
                </c:ext>
              </c:extLst>
            </c:dLbl>
            <c:dLbl>
              <c:idx val="12"/>
              <c:layout>
                <c:manualLayout>
                  <c:x val="1.8567251461988304E-3"/>
                  <c:y val="-3.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A-4DDE-BB81-6CFEFF17938C}"/>
                </c:ext>
              </c:extLst>
            </c:dLbl>
            <c:dLbl>
              <c:idx val="14"/>
              <c:layout>
                <c:manualLayout>
                  <c:x val="6.8079135571306906E-17"/>
                  <c:y val="-5.644444444444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0A-4DDE-BB81-6CFEFF17938C}"/>
                </c:ext>
              </c:extLst>
            </c:dLbl>
            <c:dLbl>
              <c:idx val="19"/>
              <c:layout>
                <c:manualLayout>
                  <c:x val="-1.8567251461988304E-3"/>
                  <c:y val="-7.408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A-4DDE-BB81-6CFEFF17938C}"/>
                </c:ext>
              </c:extLst>
            </c:dLbl>
            <c:dLbl>
              <c:idx val="21"/>
              <c:layout>
                <c:manualLayout>
                  <c:x val="1.8567251461986943E-3"/>
                  <c:y val="-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A-4DDE-BB81-6CFEFF17938C}"/>
                </c:ext>
              </c:extLst>
            </c:dLbl>
            <c:dLbl>
              <c:idx val="22"/>
              <c:layout>
                <c:manualLayout>
                  <c:x val="-3.7134502923976609E-3"/>
                  <c:y val="-5.9972222222222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A-4DDE-BB81-6CFEFF179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EDP!$F$3:$AC$3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EDP!$F$7:$AC$7</c:f>
              <c:numCache>
                <c:formatCode>#,##0</c:formatCode>
                <c:ptCount val="24"/>
                <c:pt idx="0">
                  <c:v>1525.8364999999999</c:v>
                </c:pt>
                <c:pt idx="1">
                  <c:v>1338.165841</c:v>
                </c:pt>
                <c:pt idx="2">
                  <c:v>1338.2238620000001</c:v>
                </c:pt>
                <c:pt idx="3">
                  <c:v>1488.89</c:v>
                </c:pt>
                <c:pt idx="4">
                  <c:v>1827.04</c:v>
                </c:pt>
                <c:pt idx="5">
                  <c:v>1264.55</c:v>
                </c:pt>
                <c:pt idx="6">
                  <c:v>2254.0170000000003</c:v>
                </c:pt>
                <c:pt idx="7">
                  <c:v>2311.902</c:v>
                </c:pt>
                <c:pt idx="8">
                  <c:v>3000.7049999999999</c:v>
                </c:pt>
                <c:pt idx="9">
                  <c:v>3154.9360000000001</c:v>
                </c:pt>
                <c:pt idx="10">
                  <c:v>3363</c:v>
                </c:pt>
                <c:pt idx="11">
                  <c:v>3613</c:v>
                </c:pt>
                <c:pt idx="12">
                  <c:v>3757</c:v>
                </c:pt>
                <c:pt idx="13">
                  <c:v>3648.0740000000001</c:v>
                </c:pt>
                <c:pt idx="14">
                  <c:v>3598</c:v>
                </c:pt>
                <c:pt idx="15">
                  <c:v>3642</c:v>
                </c:pt>
                <c:pt idx="16">
                  <c:v>3924</c:v>
                </c:pt>
                <c:pt idx="17">
                  <c:v>3759</c:v>
                </c:pt>
                <c:pt idx="18">
                  <c:v>3994</c:v>
                </c:pt>
                <c:pt idx="19">
                  <c:v>3317</c:v>
                </c:pt>
                <c:pt idx="20">
                  <c:v>3706</c:v>
                </c:pt>
                <c:pt idx="21">
                  <c:v>3657</c:v>
                </c:pt>
                <c:pt idx="22">
                  <c:v>3679</c:v>
                </c:pt>
                <c:pt idx="23">
                  <c:v>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EDP!$C$28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EDP!$F$28:$AC$28</c:f>
              <c:numCache>
                <c:formatCode>0.0</c:formatCode>
                <c:ptCount val="24"/>
                <c:pt idx="0">
                  <c:v>7.9003222166988412</c:v>
                </c:pt>
                <c:pt idx="1">
                  <c:v>9.1435602562208889</c:v>
                </c:pt>
                <c:pt idx="2">
                  <c:v>6.3298826455987962</c:v>
                </c:pt>
                <c:pt idx="3">
                  <c:v>3.7199524477966808</c:v>
                </c:pt>
                <c:pt idx="4">
                  <c:v>3.98250722480077</c:v>
                </c:pt>
                <c:pt idx="5">
                  <c:v>6.3837728836344949</c:v>
                </c:pt>
                <c:pt idx="6">
                  <c:v>4.175656172956991</c:v>
                </c:pt>
                <c:pt idx="7">
                  <c:v>6.0127116114783412</c:v>
                </c:pt>
                <c:pt idx="8">
                  <c:v>5.3925327548026214</c:v>
                </c:pt>
                <c:pt idx="9">
                  <c:v>3.0980026219232339</c:v>
                </c:pt>
                <c:pt idx="10">
                  <c:v>3.3476657746060061</c:v>
                </c:pt>
                <c:pt idx="11">
                  <c:v>2.4948242457791312</c:v>
                </c:pt>
                <c:pt idx="12">
                  <c:v>2.3053926004791059</c:v>
                </c:pt>
                <c:pt idx="13">
                  <c:v>2.2748880642223819</c:v>
                </c:pt>
                <c:pt idx="14">
                  <c:v>2.691520289049472</c:v>
                </c:pt>
                <c:pt idx="15">
                  <c:v>3.2111587040087866</c:v>
                </c:pt>
                <c:pt idx="16">
                  <c:v>3.0746381243628949</c:v>
                </c:pt>
                <c:pt idx="17">
                  <c:v>2.8592471401968607</c:v>
                </c:pt>
                <c:pt idx="18">
                  <c:v>2.6466682198297451</c:v>
                </c:pt>
                <c:pt idx="19">
                  <c:v>3.3411576725957191</c:v>
                </c:pt>
                <c:pt idx="20">
                  <c:v>3.8156988667026441</c:v>
                </c:pt>
                <c:pt idx="21">
                  <c:v>5.3068591741864912</c:v>
                </c:pt>
                <c:pt idx="22">
                  <c:v>5.215512911117151</c:v>
                </c:pt>
                <c:pt idx="23">
                  <c:v>4.1255689961880559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EDP!$C$32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A-411D-BE3C-4141B6D25E3A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11D-BE3C-4141B6D25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EDP!$F$3:$AA$3</c:f>
              <c:numCache>
                <c:formatCode>General</c:formatCode>
                <c:ptCount val="22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cat>
          <c:val>
            <c:numRef>
              <c:f>EDP!$F$32:$AA$32</c:f>
              <c:numCache>
                <c:formatCode>0.0%</c:formatCode>
                <c:ptCount val="22"/>
                <c:pt idx="0">
                  <c:v>0.49551148469860812</c:v>
                </c:pt>
                <c:pt idx="1">
                  <c:v>0.32434564194068261</c:v>
                </c:pt>
                <c:pt idx="2">
                  <c:v>0.22497925291421225</c:v>
                </c:pt>
                <c:pt idx="3">
                  <c:v>0.24863981136045585</c:v>
                </c:pt>
                <c:pt idx="4">
                  <c:v>0.282982937292385</c:v>
                </c:pt>
                <c:pt idx="5">
                  <c:v>0.1887586960655854</c:v>
                </c:pt>
                <c:pt idx="6">
                  <c:v>0.24371163314215344</c:v>
                </c:pt>
                <c:pt idx="7">
                  <c:v>0.22337592921852023</c:v>
                </c:pt>
                <c:pt idx="8">
                  <c:v>0.27252433933369646</c:v>
                </c:pt>
                <c:pt idx="9">
                  <c:v>0.22707079995246893</c:v>
                </c:pt>
                <c:pt idx="10">
                  <c:v>0.27570073116030658</c:v>
                </c:pt>
                <c:pt idx="11">
                  <c:v>0.25496194906378228</c:v>
                </c:pt>
                <c:pt idx="12">
                  <c:v>0.24846485161450238</c:v>
                </c:pt>
                <c:pt idx="13">
                  <c:v>0.22326233759493813</c:v>
                </c:pt>
                <c:pt idx="14">
                  <c:v>0.22100518539097985</c:v>
                </c:pt>
                <c:pt idx="15">
                  <c:v>0.22351946432903685</c:v>
                </c:pt>
                <c:pt idx="16">
                  <c:v>0.25288720953335797</c:v>
                </c:pt>
                <c:pt idx="17">
                  <c:v>0.25755106280409046</c:v>
                </c:pt>
                <c:pt idx="18">
                  <c:v>0.25365193048870166</c:v>
                </c:pt>
                <c:pt idx="19">
                  <c:v>0.21710956931535541</c:v>
                </c:pt>
                <c:pt idx="20">
                  <c:v>0.25856415265471289</c:v>
                </c:pt>
                <c:pt idx="21">
                  <c:v>0.29378213367609257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EDP!$C$33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11D-BE3C-4141B6D25E3A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A-411D-BE3C-4141B6D25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EDP!$F$3:$AA$3</c:f>
              <c:numCache>
                <c:formatCode>General</c:formatCode>
                <c:ptCount val="22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cat>
          <c:val>
            <c:numRef>
              <c:f>EDP!$F$33:$AA$33</c:f>
              <c:numCache>
                <c:formatCode>0.0%</c:formatCode>
                <c:ptCount val="22"/>
                <c:pt idx="0">
                  <c:v>0.29503576316002877</c:v>
                </c:pt>
                <c:pt idx="1">
                  <c:v>0.17557211960348659</c:v>
                </c:pt>
                <c:pt idx="2">
                  <c:v>0.11323279422251087</c:v>
                </c:pt>
                <c:pt idx="3">
                  <c:v>0.10833146853613976</c:v>
                </c:pt>
                <c:pt idx="4">
                  <c:v>0.14028676525367773</c:v>
                </c:pt>
                <c:pt idx="5">
                  <c:v>0.15799366321286989</c:v>
                </c:pt>
                <c:pt idx="6">
                  <c:v>0.22200870284001925</c:v>
                </c:pt>
                <c:pt idx="7">
                  <c:v>0.12106831554462849</c:v>
                </c:pt>
                <c:pt idx="8">
                  <c:v>0.11726092379666542</c:v>
                </c:pt>
                <c:pt idx="9">
                  <c:v>0.13890781983642941</c:v>
                </c:pt>
                <c:pt idx="10">
                  <c:v>0.16150176639482722</c:v>
                </c:pt>
                <c:pt idx="11">
                  <c:v>0.14565221778789</c:v>
                </c:pt>
                <c:pt idx="12">
                  <c:v>0.14999155801482336</c:v>
                </c:pt>
                <c:pt idx="13">
                  <c:v>0.13554766156417311</c:v>
                </c:pt>
                <c:pt idx="14">
                  <c:v>0.13009699351253345</c:v>
                </c:pt>
                <c:pt idx="15">
                  <c:v>0.13459038585216304</c:v>
                </c:pt>
                <c:pt idx="16">
                  <c:v>0.15744226628185362</c:v>
                </c:pt>
                <c:pt idx="17">
                  <c:v>0.15511987395276955</c:v>
                </c:pt>
                <c:pt idx="18">
                  <c:v>0.14721211188603167</c:v>
                </c:pt>
                <c:pt idx="19">
                  <c:v>0.10367849194920802</c:v>
                </c:pt>
                <c:pt idx="20">
                  <c:v>0.12823554036140375</c:v>
                </c:pt>
                <c:pt idx="21">
                  <c:v>0.17721722365038561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EDP!$C$35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A-411D-BE3C-4141B6D25E3A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11D-BE3C-4141B6D25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EDP!$F$3:$AA$3</c:f>
              <c:numCache>
                <c:formatCode>General</c:formatCode>
                <c:ptCount val="22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</c:numCache>
            </c:numRef>
          </c:cat>
          <c:val>
            <c:numRef>
              <c:f>EDP!$F$35:$AA$35</c:f>
              <c:numCache>
                <c:formatCode>0.0%</c:formatCode>
                <c:ptCount val="22"/>
                <c:pt idx="0">
                  <c:v>0.1673016380132184</c:v>
                </c:pt>
                <c:pt idx="1">
                  <c:v>0.13306067580051853</c:v>
                </c:pt>
                <c:pt idx="2">
                  <c:v>7.5786616184531336E-2</c:v>
                </c:pt>
                <c:pt idx="3">
                  <c:v>5.5979987107849849E-2</c:v>
                </c:pt>
                <c:pt idx="4">
                  <c:v>5.9028452715082072E-2</c:v>
                </c:pt>
                <c:pt idx="5">
                  <c:v>6.5701251505009328E-2</c:v>
                </c:pt>
                <c:pt idx="6">
                  <c:v>0.12022883203648511</c:v>
                </c:pt>
                <c:pt idx="7">
                  <c:v>9.8270540973345838E-2</c:v>
                </c:pt>
                <c:pt idx="8">
                  <c:v>9.8820900757421504E-2</c:v>
                </c:pt>
                <c:pt idx="9">
                  <c:v>8.7207895919285808E-2</c:v>
                </c:pt>
                <c:pt idx="10">
                  <c:v>9.5748986576415868E-2</c:v>
                </c:pt>
                <c:pt idx="11">
                  <c:v>8.7123243087764923E-2</c:v>
                </c:pt>
                <c:pt idx="12">
                  <c:v>8.8088891293221519E-2</c:v>
                </c:pt>
                <c:pt idx="13">
                  <c:v>7.2347953659806258E-2</c:v>
                </c:pt>
                <c:pt idx="14">
                  <c:v>7.3311498577931747E-2</c:v>
                </c:pt>
                <c:pt idx="15">
                  <c:v>7.7563463540274588E-2</c:v>
                </c:pt>
                <c:pt idx="16">
                  <c:v>8.0373664697209773E-2</c:v>
                </c:pt>
                <c:pt idx="17">
                  <c:v>6.5843727415464459E-2</c:v>
                </c:pt>
                <c:pt idx="18">
                  <c:v>7.0684676673491473E-2</c:v>
                </c:pt>
                <c:pt idx="19">
                  <c:v>3.3982851158528608E-2</c:v>
                </c:pt>
                <c:pt idx="20">
                  <c:v>3.5721760971185373E-2</c:v>
                </c:pt>
                <c:pt idx="21">
                  <c:v>6.4347686375321331E-2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EDP!$C$12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0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0D-4B31-AF82-853CD2463520}"/>
                </c:ext>
              </c:extLst>
            </c:dLbl>
            <c:dLbl>
              <c:idx val="14"/>
              <c:layout>
                <c:manualLayout>
                  <c:x val="-6.8079135571306906E-17"/>
                  <c:y val="-7.4083333333333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0D-4B31-AF82-853CD2463520}"/>
                </c:ext>
              </c:extLst>
            </c:dLbl>
            <c:dLbl>
              <c:idx val="16"/>
              <c:layout>
                <c:manualLayout>
                  <c:x val="0"/>
                  <c:y val="-4.586111111111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D-4B31-AF82-853CD2463520}"/>
                </c:ext>
              </c:extLst>
            </c:dLbl>
            <c:dLbl>
              <c:idx val="19"/>
              <c:layout>
                <c:manualLayout>
                  <c:x val="1.8567251461988304E-3"/>
                  <c:y val="-2.4694444444444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D-4B31-AF82-853CD2463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EDP!$F$3:$AC$3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EDP!$F$12:$AC$12</c:f>
              <c:numCache>
                <c:formatCode>#,##0</c:formatCode>
                <c:ptCount val="24"/>
                <c:pt idx="0">
                  <c:v>515.17462999999998</c:v>
                </c:pt>
                <c:pt idx="1">
                  <c:v>548.97377400000005</c:v>
                </c:pt>
                <c:pt idx="2">
                  <c:v>450.794715</c:v>
                </c:pt>
                <c:pt idx="3">
                  <c:v>335.21600000000001</c:v>
                </c:pt>
                <c:pt idx="4">
                  <c:v>381.10899999999998</c:v>
                </c:pt>
                <c:pt idx="5">
                  <c:v>440.15199999999999</c:v>
                </c:pt>
                <c:pt idx="6">
                  <c:v>1111.961</c:v>
                </c:pt>
                <c:pt idx="7">
                  <c:v>1017.083</c:v>
                </c:pt>
                <c:pt idx="8">
                  <c:v>1088.095</c:v>
                </c:pt>
                <c:pt idx="9">
                  <c:v>1211.672</c:v>
                </c:pt>
                <c:pt idx="10">
                  <c:v>1167.9469999999999</c:v>
                </c:pt>
                <c:pt idx="11">
                  <c:v>1234.6010000000001</c:v>
                </c:pt>
                <c:pt idx="12">
                  <c:v>1331.979</c:v>
                </c:pt>
                <c:pt idx="13">
                  <c:v>1182.155</c:v>
                </c:pt>
                <c:pt idx="14">
                  <c:v>1193.5229999999999</c:v>
                </c:pt>
                <c:pt idx="15">
                  <c:v>1263.81</c:v>
                </c:pt>
                <c:pt idx="16">
                  <c:v>1247.1420000000001</c:v>
                </c:pt>
                <c:pt idx="17">
                  <c:v>961</c:v>
                </c:pt>
                <c:pt idx="18">
                  <c:v>1113</c:v>
                </c:pt>
                <c:pt idx="19">
                  <c:v>519.19000000000005</c:v>
                </c:pt>
                <c:pt idx="20">
                  <c:v>512</c:v>
                </c:pt>
                <c:pt idx="21">
                  <c:v>801</c:v>
                </c:pt>
                <c:pt idx="22">
                  <c:v>816.22</c:v>
                </c:pt>
                <c:pt idx="23">
                  <c:v>934.11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EDP!$C$36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D-4B31-AF82-853CD2463520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EDP!$F$36:$AC$36</c:f>
              <c:numCache>
                <c:formatCode>0.0</c:formatCode>
                <c:ptCount val="24"/>
                <c:pt idx="0">
                  <c:v>23.399055966711718</c:v>
                </c:pt>
                <c:pt idx="1">
                  <c:v>22.288132110296402</c:v>
                </c:pt>
                <c:pt idx="2">
                  <c:v>18.790814794712045</c:v>
                </c:pt>
                <c:pt idx="3">
                  <c:v>16.522481027158609</c:v>
                </c:pt>
                <c:pt idx="4">
                  <c:v>19.092175729253309</c:v>
                </c:pt>
                <c:pt idx="5">
                  <c:v>18.340482378814592</c:v>
                </c:pt>
                <c:pt idx="6">
                  <c:v>8.4643256373200142</c:v>
                </c:pt>
                <c:pt idx="7">
                  <c:v>13.667321152747613</c:v>
                </c:pt>
                <c:pt idx="8">
                  <c:v>14.871311788033214</c:v>
                </c:pt>
                <c:pt idx="9">
                  <c:v>8.0665394595236997</c:v>
                </c:pt>
                <c:pt idx="10">
                  <c:v>9.6393072630864243</c:v>
                </c:pt>
                <c:pt idx="11">
                  <c:v>7.3009822606655916</c:v>
                </c:pt>
                <c:pt idx="12">
                  <c:v>6.5026250413857882</c:v>
                </c:pt>
                <c:pt idx="13">
                  <c:v>7.0201961671692805</c:v>
                </c:pt>
                <c:pt idx="14">
                  <c:v>8.1138696112265958</c:v>
                </c:pt>
                <c:pt idx="15">
                  <c:v>9.2537960611167822</c:v>
                </c:pt>
                <c:pt idx="16">
                  <c:v>9.6740226854680529</c:v>
                </c:pt>
                <c:pt idx="17">
                  <c:v>11.184089490114465</c:v>
                </c:pt>
                <c:pt idx="18">
                  <c:v>9.4975677178796065</c:v>
                </c:pt>
                <c:pt idx="19">
                  <c:v>21.345981240008474</c:v>
                </c:pt>
                <c:pt idx="20">
                  <c:v>27.619101562499999</c:v>
                </c:pt>
                <c:pt idx="21">
                  <c:v>24.228694132334578</c:v>
                </c:pt>
                <c:pt idx="22">
                  <c:v>23.508211021538308</c:v>
                </c:pt>
                <c:pt idx="23">
                  <c:v>17.379231568016614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EDP!$C$38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CD-413A-A737-3F1B4BD37995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D-413A-A737-3F1B4BD37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EDP!$F$3:$AC$3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EDP!$F$38:$AC$38</c:f>
              <c:numCache>
                <c:formatCode>0%</c:formatCode>
                <c:ptCount val="24"/>
                <c:pt idx="0">
                  <c:v>0.14954901802580159</c:v>
                </c:pt>
                <c:pt idx="1">
                  <c:v>0.12023193922558567</c:v>
                </c:pt>
                <c:pt idx="2">
                  <c:v>0.11047387472010362</c:v>
                </c:pt>
                <c:pt idx="3">
                  <c:v>0.11807107955287975</c:v>
                </c:pt>
                <c:pt idx="4">
                  <c:v>0.17095900401792599</c:v>
                </c:pt>
                <c:pt idx="5">
                  <c:v>0.22134909589390592</c:v>
                </c:pt>
                <c:pt idx="6">
                  <c:v>0.33599054713480891</c:v>
                </c:pt>
                <c:pt idx="7">
                  <c:v>0.19174536212971102</c:v>
                </c:pt>
                <c:pt idx="8">
                  <c:v>0.17806848705213735</c:v>
                </c:pt>
                <c:pt idx="9">
                  <c:v>0.22581192803152578</c:v>
                </c:pt>
                <c:pt idx="10">
                  <c:v>0.19742074308766844</c:v>
                </c:pt>
                <c:pt idx="11">
                  <c:v>0.19137763991499643</c:v>
                </c:pt>
                <c:pt idx="12">
                  <c:v>0.19917836290666568</c:v>
                </c:pt>
                <c:pt idx="13">
                  <c:v>0.19374504228079403</c:v>
                </c:pt>
                <c:pt idx="14">
                  <c:v>0.18372814064519286</c:v>
                </c:pt>
                <c:pt idx="15">
                  <c:v>0.18322112257986034</c:v>
                </c:pt>
                <c:pt idx="16">
                  <c:v>0.28177623990772782</c:v>
                </c:pt>
                <c:pt idx="17">
                  <c:v>0.24069742717414416</c:v>
                </c:pt>
                <c:pt idx="18">
                  <c:v>0.24282421956840561</c:v>
                </c:pt>
                <c:pt idx="19">
                  <c:v>0.17662801070472792</c:v>
                </c:pt>
                <c:pt idx="20">
                  <c:v>0.20749604876947392</c:v>
                </c:pt>
                <c:pt idx="21">
                  <c:v>0.23019931128039237</c:v>
                </c:pt>
                <c:pt idx="22">
                  <c:v>0.23775153105861768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EDP!$C$39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D-413A-A737-3F1B4BD37995}"/>
                </c:ext>
              </c:extLst>
            </c:dLbl>
            <c:dLbl>
              <c:idx val="1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D-413A-A737-3F1B4BD37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EDP!$F$3:$AC$3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EDP!$F$39:$AC$39</c:f>
              <c:numCache>
                <c:formatCode>0%</c:formatCode>
                <c:ptCount val="24"/>
                <c:pt idx="0">
                  <c:v>8.4802586001799629E-2</c:v>
                </c:pt>
                <c:pt idx="1">
                  <c:v>9.1120065772934952E-2</c:v>
                </c:pt>
                <c:pt idx="2">
                  <c:v>7.3940073627239311E-2</c:v>
                </c:pt>
                <c:pt idx="3">
                  <c:v>6.1012904195747432E-2</c:v>
                </c:pt>
                <c:pt idx="4">
                  <c:v>7.193440854268407E-2</c:v>
                </c:pt>
                <c:pt idx="5">
                  <c:v>9.2047442435319787E-2</c:v>
                </c:pt>
                <c:pt idx="6">
                  <c:v>0.18195570957606597</c:v>
                </c:pt>
                <c:pt idx="7">
                  <c:v>0.15563874314143639</c:v>
                </c:pt>
                <c:pt idx="8">
                  <c:v>0.15006608951433034</c:v>
                </c:pt>
                <c:pt idx="9">
                  <c:v>0.14176727516345383</c:v>
                </c:pt>
                <c:pt idx="10">
                  <c:v>0.11704414448071729</c:v>
                </c:pt>
                <c:pt idx="11">
                  <c:v>0.11447433411661556</c:v>
                </c:pt>
                <c:pt idx="12">
                  <c:v>0.11697592444711538</c:v>
                </c:pt>
                <c:pt idx="13">
                  <c:v>0.10341054341326218</c:v>
                </c:pt>
                <c:pt idx="14">
                  <c:v>0.10353340963516171</c:v>
                </c:pt>
                <c:pt idx="15">
                  <c:v>0.10558900452697369</c:v>
                </c:pt>
                <c:pt idx="16">
                  <c:v>0.14384567474048443</c:v>
                </c:pt>
                <c:pt idx="17">
                  <c:v>0.10216882840739953</c:v>
                </c:pt>
                <c:pt idx="18">
                  <c:v>0.11659333752357008</c:v>
                </c:pt>
                <c:pt idx="19">
                  <c:v>5.7893621766280115E-2</c:v>
                </c:pt>
                <c:pt idx="20">
                  <c:v>5.7800857981485661E-2</c:v>
                </c:pt>
                <c:pt idx="21">
                  <c:v>8.3585516017948447E-2</c:v>
                </c:pt>
                <c:pt idx="22">
                  <c:v>8.9262904636920382E-2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EDP!$C$37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EDP!$F$3:$AC$3</c:f>
              <c:strCache>
                <c:ptCount val="24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  <c:pt idx="23">
                  <c:v>22*</c:v>
                </c:pt>
              </c:strCache>
            </c:strRef>
          </c:cat>
          <c:val>
            <c:numRef>
              <c:f>EDP!$F$37:$AC$37</c:f>
              <c:numCache>
                <c:formatCode>0.0</c:formatCode>
                <c:ptCount val="24"/>
                <c:pt idx="0">
                  <c:v>1.9843004559779931</c:v>
                </c:pt>
                <c:pt idx="1">
                  <c:v>2.0308960638460714</c:v>
                </c:pt>
                <c:pt idx="2">
                  <c:v>1.3893942294368264</c:v>
                </c:pt>
                <c:pt idx="3">
                  <c:v>1.0080845519860828</c:v>
                </c:pt>
                <c:pt idx="4">
                  <c:v>1.3733843688768248</c:v>
                </c:pt>
                <c:pt idx="5">
                  <c:v>1.6881944959999331</c:v>
                </c:pt>
                <c:pt idx="6">
                  <c:v>1.5401323774214499</c:v>
                </c:pt>
                <c:pt idx="7">
                  <c:v>2.1271646863240057</c:v>
                </c:pt>
                <c:pt idx="8">
                  <c:v>2.231679605978508</c:v>
                </c:pt>
                <c:pt idx="9">
                  <c:v>1.1435713191751544</c:v>
                </c:pt>
                <c:pt idx="10">
                  <c:v>1.128224471994715</c:v>
                </c:pt>
                <c:pt idx="11">
                  <c:v>0.83577508268691614</c:v>
                </c:pt>
                <c:pt idx="12">
                  <c:v>0.76065057554906446</c:v>
                </c:pt>
                <c:pt idx="13">
                  <c:v>0.7259623005146757</c:v>
                </c:pt>
                <c:pt idx="14">
                  <c:v>0.84005658618541346</c:v>
                </c:pt>
                <c:pt idx="15">
                  <c:v>0.97709911418895123</c:v>
                </c:pt>
                <c:pt idx="16">
                  <c:v>1.3915663206459052</c:v>
                </c:pt>
                <c:pt idx="17">
                  <c:v>1.1426653200085053</c:v>
                </c:pt>
                <c:pt idx="18">
                  <c:v>1.1073531185837</c:v>
                </c:pt>
                <c:pt idx="19">
                  <c:v>1.2357961641391615</c:v>
                </c:pt>
                <c:pt idx="20">
                  <c:v>1.5964077669902912</c:v>
                </c:pt>
                <c:pt idx="21">
                  <c:v>2.0251679014922255</c:v>
                </c:pt>
                <c:pt idx="22">
                  <c:v>2.098411198600175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EDP!$C$41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EDP!$F$41:$AC$41</c:f>
              <c:numCache>
                <c:formatCode>0.0</c:formatCode>
                <c:ptCount val="24"/>
                <c:pt idx="0">
                  <c:v>0.58241674477886263</c:v>
                </c:pt>
                <c:pt idx="1">
                  <c:v>0.42630229402263481</c:v>
                </c:pt>
                <c:pt idx="2">
                  <c:v>0.40858931191552073</c:v>
                </c:pt>
                <c:pt idx="3">
                  <c:v>0.48899653976389362</c:v>
                </c:pt>
                <c:pt idx="4">
                  <c:v>0.52132731798896714</c:v>
                </c:pt>
                <c:pt idx="5">
                  <c:v>0.48066568973606699</c:v>
                </c:pt>
                <c:pt idx="6">
                  <c:v>0.66232869434259933</c:v>
                </c:pt>
                <c:pt idx="7">
                  <c:v>0.87075973344494484</c:v>
                </c:pt>
                <c:pt idx="8">
                  <c:v>0.64490234448016581</c:v>
                </c:pt>
                <c:pt idx="9">
                  <c:v>0.58880648437041672</c:v>
                </c:pt>
                <c:pt idx="10">
                  <c:v>0.77051331085100383</c:v>
                </c:pt>
                <c:pt idx="11">
                  <c:v>0.94203946652618575</c:v>
                </c:pt>
                <c:pt idx="12">
                  <c:v>0.94200651745805619</c:v>
                </c:pt>
                <c:pt idx="13">
                  <c:v>0.9068874449708314</c:v>
                </c:pt>
                <c:pt idx="14">
                  <c:v>0.88827570612214379</c:v>
                </c:pt>
                <c:pt idx="15">
                  <c:v>0.93760673584669174</c:v>
                </c:pt>
                <c:pt idx="16">
                  <c:v>0.72301745456944</c:v>
                </c:pt>
                <c:pt idx="17">
                  <c:v>0.85599611163632738</c:v>
                </c:pt>
                <c:pt idx="18">
                  <c:v>1.1335463258785943</c:v>
                </c:pt>
                <c:pt idx="19">
                  <c:v>0.78863580700465341</c:v>
                </c:pt>
                <c:pt idx="20">
                  <c:v>0.95055132431510747</c:v>
                </c:pt>
                <c:pt idx="21">
                  <c:v>1.0589462702138759</c:v>
                </c:pt>
                <c:pt idx="22">
                  <c:v>1.1593832958954462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EDP!$C$45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EDP!$F$45:$AC$45</c:f>
              <c:numCache>
                <c:formatCode>0.0</c:formatCode>
                <c:ptCount val="24"/>
                <c:pt idx="0">
                  <c:v>1.2619261252064533</c:v>
                </c:pt>
                <c:pt idx="1">
                  <c:v>1.4349119930371674</c:v>
                </c:pt>
                <c:pt idx="2">
                  <c:v>1.5902790581349988</c:v>
                </c:pt>
                <c:pt idx="3">
                  <c:v>2.2281202188060028</c:v>
                </c:pt>
                <c:pt idx="4">
                  <c:v>2.4025394832434159</c:v>
                </c:pt>
                <c:pt idx="5">
                  <c:v>3.3709477298796791</c:v>
                </c:pt>
                <c:pt idx="6">
                  <c:v>2.9326352447152861</c:v>
                </c:pt>
                <c:pt idx="7">
                  <c:v>2.8973705166845809</c:v>
                </c:pt>
                <c:pt idx="8">
                  <c:v>3.3421317068030825</c:v>
                </c:pt>
                <c:pt idx="9">
                  <c:v>3.1798096832433811</c:v>
                </c:pt>
                <c:pt idx="10">
                  <c:v>2.8717092868320964</c:v>
                </c:pt>
                <c:pt idx="11">
                  <c:v>2.7541962839172589</c:v>
                </c:pt>
                <c:pt idx="12">
                  <c:v>2.6253076484579174</c:v>
                </c:pt>
                <c:pt idx="13">
                  <c:v>2.7289259975009772</c:v>
                </c:pt>
                <c:pt idx="14">
                  <c:v>2.6490193098449311</c:v>
                </c:pt>
                <c:pt idx="15">
                  <c:v>2.5819618345305226</c:v>
                </c:pt>
                <c:pt idx="16">
                  <c:v>3.9062283737024219</c:v>
                </c:pt>
                <c:pt idx="17">
                  <c:v>3.6866893472251756</c:v>
                </c:pt>
                <c:pt idx="18">
                  <c:v>3.407605279698303</c:v>
                </c:pt>
                <c:pt idx="19">
                  <c:v>3.6417261373773417</c:v>
                </c:pt>
                <c:pt idx="20">
                  <c:v>3.782230751862723</c:v>
                </c:pt>
                <c:pt idx="21">
                  <c:v>3.4815819680684545</c:v>
                </c:pt>
                <c:pt idx="22">
                  <c:v>4.2634514435695534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'EDP Renováveis'!$C$26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'EDP Renováveis'!$D$26:$R$26</c:f>
              <c:numCache>
                <c:formatCode>#\ ##0_ ;\-#\ ##0\ </c:formatCode>
                <c:ptCount val="15"/>
                <c:pt idx="0">
                  <c:v>4361.5408100000004</c:v>
                </c:pt>
                <c:pt idx="1">
                  <c:v>5783.40311406</c:v>
                </c:pt>
                <c:pt idx="2">
                  <c:v>3785.81742308</c:v>
                </c:pt>
                <c:pt idx="3">
                  <c:v>4126.0176062600003</c:v>
                </c:pt>
                <c:pt idx="4">
                  <c:v>3480.5095663800003</c:v>
                </c:pt>
                <c:pt idx="5">
                  <c:v>3367.1095053200002</c:v>
                </c:pt>
                <c:pt idx="6">
                  <c:v>4710.4640748000002</c:v>
                </c:pt>
                <c:pt idx="7">
                  <c:v>6324.2341745000003</c:v>
                </c:pt>
                <c:pt idx="8">
                  <c:v>5268.7412984800003</c:v>
                </c:pt>
                <c:pt idx="9">
                  <c:v>6079.9878891400003</c:v>
                </c:pt>
                <c:pt idx="10">
                  <c:v>6782.1959595500002</c:v>
                </c:pt>
                <c:pt idx="11">
                  <c:v>9159.2357009999996</c:v>
                </c:pt>
                <c:pt idx="12">
                  <c:v>19103.5487478</c:v>
                </c:pt>
                <c:pt idx="13">
                  <c:v>16342.983000000002</c:v>
                </c:pt>
                <c:pt idx="14">
                  <c:v>16428.996000000003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'EDP Renováveis'!$C$5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26-4833-8144-1330A8AB586A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6-4833-8144-1330A8AB5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Renováveis'!$D$5:$R$5</c:f>
              <c:numCache>
                <c:formatCode>#,##0</c:formatCode>
                <c:ptCount val="15"/>
                <c:pt idx="0">
                  <c:v>872.30816200000004</c:v>
                </c:pt>
                <c:pt idx="1">
                  <c:v>872.30816200000004</c:v>
                </c:pt>
                <c:pt idx="2">
                  <c:v>872.30816200000004</c:v>
                </c:pt>
                <c:pt idx="3">
                  <c:v>872.30816200000004</c:v>
                </c:pt>
                <c:pt idx="4">
                  <c:v>872.30816200000004</c:v>
                </c:pt>
                <c:pt idx="5">
                  <c:v>872.30816200000004</c:v>
                </c:pt>
                <c:pt idx="6">
                  <c:v>872.30816200000004</c:v>
                </c:pt>
                <c:pt idx="7">
                  <c:v>872.30816200000004</c:v>
                </c:pt>
                <c:pt idx="8">
                  <c:v>872.30816200000004</c:v>
                </c:pt>
                <c:pt idx="9">
                  <c:v>872.30816200000004</c:v>
                </c:pt>
                <c:pt idx="10">
                  <c:v>872.30816200000004</c:v>
                </c:pt>
                <c:pt idx="11">
                  <c:v>872.30816200000004</c:v>
                </c:pt>
                <c:pt idx="12">
                  <c:v>872.30816200000004</c:v>
                </c:pt>
                <c:pt idx="13">
                  <c:v>955.73</c:v>
                </c:pt>
                <c:pt idx="14">
                  <c:v>960.76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'EDP Renováveis'!$C$6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Renováveis'!$D$6:$R$6</c:f>
              <c:numCache>
                <c:formatCode>#,##0</c:formatCode>
                <c:ptCount val="15"/>
                <c:pt idx="0">
                  <c:v>126.93600000000001</c:v>
                </c:pt>
                <c:pt idx="1">
                  <c:v>196.697</c:v>
                </c:pt>
                <c:pt idx="2">
                  <c:v>947.6</c:v>
                </c:pt>
                <c:pt idx="3">
                  <c:v>1068.8</c:v>
                </c:pt>
                <c:pt idx="4">
                  <c:v>1285.146</c:v>
                </c:pt>
                <c:pt idx="5">
                  <c:v>1356.0640000000001</c:v>
                </c:pt>
                <c:pt idx="6">
                  <c:v>1276.7080000000001</c:v>
                </c:pt>
                <c:pt idx="7">
                  <c:v>1547.047</c:v>
                </c:pt>
                <c:pt idx="8">
                  <c:v>1650.758</c:v>
                </c:pt>
                <c:pt idx="9">
                  <c:v>1827.1869999999999</c:v>
                </c:pt>
                <c:pt idx="10">
                  <c:v>1697</c:v>
                </c:pt>
                <c:pt idx="11">
                  <c:v>1824</c:v>
                </c:pt>
                <c:pt idx="12">
                  <c:v>1731</c:v>
                </c:pt>
                <c:pt idx="13">
                  <c:v>1816</c:v>
                </c:pt>
                <c:pt idx="14">
                  <c:v>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'EDP Renováveis'!$C$27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'EDP Renováveis'!$D$27:$R$27</c:f>
              <c:numCache>
                <c:formatCode>0.0</c:formatCode>
                <c:ptCount val="15"/>
                <c:pt idx="0">
                  <c:v>34.360156378017273</c:v>
                </c:pt>
                <c:pt idx="1">
                  <c:v>29.402599501060006</c:v>
                </c:pt>
                <c:pt idx="2">
                  <c:v>3.542119594947605</c:v>
                </c:pt>
                <c:pt idx="3">
                  <c:v>3.2105438652573328</c:v>
                </c:pt>
                <c:pt idx="4">
                  <c:v>2.708260047014114</c:v>
                </c:pt>
                <c:pt idx="5">
                  <c:v>2.4830019123876159</c:v>
                </c:pt>
                <c:pt idx="6">
                  <c:v>3.6895390917891953</c:v>
                </c:pt>
                <c:pt idx="7">
                  <c:v>4.0879392639654775</c:v>
                </c:pt>
                <c:pt idx="8">
                  <c:v>3.1917102921688096</c:v>
                </c:pt>
                <c:pt idx="9">
                  <c:v>3.3275126679097435</c:v>
                </c:pt>
                <c:pt idx="10">
                  <c:v>3.9965798229522687</c:v>
                </c:pt>
                <c:pt idx="11">
                  <c:v>5.0215108009868423</c:v>
                </c:pt>
                <c:pt idx="12">
                  <c:v>11.036134458578855</c:v>
                </c:pt>
                <c:pt idx="13">
                  <c:v>8.9994399779735694</c:v>
                </c:pt>
                <c:pt idx="14">
                  <c:v>7.9907568093385226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'EDP Renováveis'!$C$7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Renováveis'!$D$7:$R$7</c:f>
              <c:numCache>
                <c:formatCode>#,##0</c:formatCode>
                <c:ptCount val="15"/>
                <c:pt idx="0">
                  <c:v>119.687</c:v>
                </c:pt>
                <c:pt idx="1">
                  <c:v>543</c:v>
                </c:pt>
                <c:pt idx="2">
                  <c:v>712.7</c:v>
                </c:pt>
                <c:pt idx="3">
                  <c:v>800.7</c:v>
                </c:pt>
                <c:pt idx="4">
                  <c:v>938</c:v>
                </c:pt>
                <c:pt idx="5">
                  <c:v>947</c:v>
                </c:pt>
                <c:pt idx="6">
                  <c:v>903</c:v>
                </c:pt>
                <c:pt idx="7">
                  <c:v>1142</c:v>
                </c:pt>
                <c:pt idx="8">
                  <c:v>1170.951</c:v>
                </c:pt>
                <c:pt idx="9">
                  <c:v>1366.318</c:v>
                </c:pt>
                <c:pt idx="10">
                  <c:v>1300</c:v>
                </c:pt>
                <c:pt idx="11">
                  <c:v>1649</c:v>
                </c:pt>
                <c:pt idx="12">
                  <c:v>1655</c:v>
                </c:pt>
                <c:pt idx="13">
                  <c:v>1606</c:v>
                </c:pt>
                <c:pt idx="14">
                  <c:v>1785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'EDP Renováveis'!$C$28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'EDP Renováveis'!$D$28:$R$28</c:f>
              <c:numCache>
                <c:formatCode>0.0</c:formatCode>
                <c:ptCount val="15"/>
                <c:pt idx="0">
                  <c:v>36.441224276654943</c:v>
                </c:pt>
                <c:pt idx="1">
                  <c:v>10.650834464198896</c:v>
                </c:pt>
                <c:pt idx="2">
                  <c:v>5.3119368922127119</c:v>
                </c:pt>
                <c:pt idx="3">
                  <c:v>5.1530131213438244</c:v>
                </c:pt>
                <c:pt idx="4">
                  <c:v>3.7105645697014928</c:v>
                </c:pt>
                <c:pt idx="5">
                  <c:v>3.5555538598944034</c:v>
                </c:pt>
                <c:pt idx="6">
                  <c:v>5.2164607694352165</c:v>
                </c:pt>
                <c:pt idx="7">
                  <c:v>5.5378582964098078</c:v>
                </c:pt>
                <c:pt idx="8">
                  <c:v>4.499540372295681</c:v>
                </c:pt>
                <c:pt idx="9">
                  <c:v>4.4499068951298311</c:v>
                </c:pt>
                <c:pt idx="10">
                  <c:v>5.2170738150384617</c:v>
                </c:pt>
                <c:pt idx="11">
                  <c:v>5.55441825409339</c:v>
                </c:pt>
                <c:pt idx="12">
                  <c:v>11.542929756978852</c:v>
                </c:pt>
                <c:pt idx="13">
                  <c:v>10.176203611457037</c:v>
                </c:pt>
                <c:pt idx="14">
                  <c:v>9.2039193277310947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Altri!$C$38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6-4671-A0DA-0A31FEA7D9A4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E6-4671-A0DA-0A31FEA7D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Altri!$D$3:$U$3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22*</c:v>
                </c:pt>
              </c:strCache>
            </c:strRef>
          </c:cat>
          <c:val>
            <c:numRef>
              <c:f>Altri!$D$38:$U$38</c:f>
              <c:numCache>
                <c:formatCode>0%</c:formatCode>
                <c:ptCount val="18"/>
                <c:pt idx="0">
                  <c:v>0.25443545310388499</c:v>
                </c:pt>
                <c:pt idx="1">
                  <c:v>0.50939213627348034</c:v>
                </c:pt>
                <c:pt idx="2">
                  <c:v>0.64217796610169497</c:v>
                </c:pt>
                <c:pt idx="3">
                  <c:v>0.46121367130751528</c:v>
                </c:pt>
                <c:pt idx="4">
                  <c:v>0.21826196168919984</c:v>
                </c:pt>
                <c:pt idx="5">
                  <c:v>0.94655405077345789</c:v>
                </c:pt>
                <c:pt idx="6">
                  <c:v>0.43272577968418086</c:v>
                </c:pt>
                <c:pt idx="7">
                  <c:v>0.5124518096548929</c:v>
                </c:pt>
                <c:pt idx="8">
                  <c:v>0.36721311497117304</c:v>
                </c:pt>
                <c:pt idx="9">
                  <c:v>0.23893021854715379</c:v>
                </c:pt>
                <c:pt idx="10">
                  <c:v>0.52202334578590159</c:v>
                </c:pt>
                <c:pt idx="11">
                  <c:v>0.33838975932978843</c:v>
                </c:pt>
                <c:pt idx="12">
                  <c:v>0.34824497115415687</c:v>
                </c:pt>
                <c:pt idx="13">
                  <c:v>0.44570552147239262</c:v>
                </c:pt>
                <c:pt idx="14">
                  <c:v>0.33862660944206013</c:v>
                </c:pt>
                <c:pt idx="15">
                  <c:v>0.12007635302043565</c:v>
                </c:pt>
                <c:pt idx="16">
                  <c:v>0.38438793613246597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Altri!$C$39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6-4671-A0DA-0A31FEA7D9A4}"/>
                </c:ext>
              </c:extLst>
            </c:dLbl>
            <c:dLbl>
              <c:idx val="1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6-4671-A0DA-0A31FEA7D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Altri!$D$3:$U$3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22*</c:v>
                </c:pt>
              </c:strCache>
            </c:strRef>
          </c:cat>
          <c:val>
            <c:numRef>
              <c:f>Altri!$D$39:$U$39</c:f>
              <c:numCache>
                <c:formatCode>0%</c:formatCode>
                <c:ptCount val="18"/>
                <c:pt idx="0">
                  <c:v>0.10460124183159716</c:v>
                </c:pt>
                <c:pt idx="1">
                  <c:v>0.24318969781822428</c:v>
                </c:pt>
                <c:pt idx="2">
                  <c:v>0.2982517118644068</c:v>
                </c:pt>
                <c:pt idx="3">
                  <c:v>5.4218071914766963E-2</c:v>
                </c:pt>
                <c:pt idx="4">
                  <c:v>-0.18916730235376314</c:v>
                </c:pt>
                <c:pt idx="5">
                  <c:v>0.53901803385336433</c:v>
                </c:pt>
                <c:pt idx="6">
                  <c:v>0.16044680767444211</c:v>
                </c:pt>
                <c:pt idx="7">
                  <c:v>0.28390835702437278</c:v>
                </c:pt>
                <c:pt idx="8">
                  <c:v>0.22902922502788403</c:v>
                </c:pt>
                <c:pt idx="9">
                  <c:v>0.1373789037872753</c:v>
                </c:pt>
                <c:pt idx="10">
                  <c:v>0.36499506026947742</c:v>
                </c:pt>
                <c:pt idx="11">
                  <c:v>0.22400334096340135</c:v>
                </c:pt>
                <c:pt idx="12">
                  <c:v>0.24347697981774841</c:v>
                </c:pt>
                <c:pt idx="13">
                  <c:v>0.37289110429447853</c:v>
                </c:pt>
                <c:pt idx="14">
                  <c:v>0.21637339055793992</c:v>
                </c:pt>
                <c:pt idx="15">
                  <c:v>7.8553783965865695E-2</c:v>
                </c:pt>
                <c:pt idx="16">
                  <c:v>0.24652079637295485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'EDP Renováveis'!$C$32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2-4B14-84E4-8127F3B01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Renováveis'!$D$32:$R$32</c:f>
              <c:numCache>
                <c:formatCode>0.0%</c:formatCode>
                <c:ptCount val="15"/>
                <c:pt idx="0">
                  <c:v>0.94289248125039382</c:v>
                </c:pt>
                <c:pt idx="1">
                  <c:v>2.7605911630579012</c:v>
                </c:pt>
                <c:pt idx="2">
                  <c:v>0.66682260479041922</c:v>
                </c:pt>
                <c:pt idx="3">
                  <c:v>0.62304205125332068</c:v>
                </c:pt>
                <c:pt idx="4">
                  <c:v>0.72987816170302833</c:v>
                </c:pt>
                <c:pt idx="5">
                  <c:v>0.69834462090284821</c:v>
                </c:pt>
                <c:pt idx="6">
                  <c:v>0.70728780582560768</c:v>
                </c:pt>
                <c:pt idx="7">
                  <c:v>0.73818054655094512</c:v>
                </c:pt>
                <c:pt idx="8">
                  <c:v>0.70934140558458603</c:v>
                </c:pt>
                <c:pt idx="9">
                  <c:v>0.74777130091227662</c:v>
                </c:pt>
                <c:pt idx="10">
                  <c:v>0.76605774896876844</c:v>
                </c:pt>
                <c:pt idx="11">
                  <c:v>0.9040570175438597</c:v>
                </c:pt>
                <c:pt idx="12">
                  <c:v>0.95609474292316576</c:v>
                </c:pt>
                <c:pt idx="13">
                  <c:v>0.88436123348017626</c:v>
                </c:pt>
                <c:pt idx="14">
                  <c:v>0.86819066147859925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'EDP Renováveis'!$C$33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A2-4B14-84E4-8127F3B0161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2-4B14-84E4-8127F3B01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Renováveis'!$D$33:$R$33</c:f>
              <c:numCache>
                <c:formatCode>0.0%</c:formatCode>
                <c:ptCount val="15"/>
                <c:pt idx="0">
                  <c:v>0.94289248125039382</c:v>
                </c:pt>
                <c:pt idx="1">
                  <c:v>0.88940858274401735</c:v>
                </c:pt>
                <c:pt idx="2">
                  <c:v>0.27123877245508982</c:v>
                </c:pt>
                <c:pt idx="3">
                  <c:v>0.27039729338145241</c:v>
                </c:pt>
                <c:pt idx="4">
                  <c:v>0.35023724930863886</c:v>
                </c:pt>
                <c:pt idx="5">
                  <c:v>0.34891494796705758</c:v>
                </c:pt>
                <c:pt idx="6">
                  <c:v>0.33085795655702005</c:v>
                </c:pt>
                <c:pt idx="7">
                  <c:v>0.37351030705595883</c:v>
                </c:pt>
                <c:pt idx="8">
                  <c:v>0.34163638764737164</c:v>
                </c:pt>
                <c:pt idx="9">
                  <c:v>0.43954833303870922</c:v>
                </c:pt>
                <c:pt idx="10">
                  <c:v>0.44413671184443138</c:v>
                </c:pt>
                <c:pt idx="11">
                  <c:v>0.57839912280701755</c:v>
                </c:pt>
                <c:pt idx="12">
                  <c:v>0.60889659156556908</c:v>
                </c:pt>
                <c:pt idx="13">
                  <c:v>0.55561674008810569</c:v>
                </c:pt>
                <c:pt idx="14">
                  <c:v>0.53891050583657585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'EDP Renováveis'!$C$35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2-4B14-84E4-8127F3B0161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2-4B14-84E4-8127F3B01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Renováveis'!$D$35:$R$35</c:f>
              <c:numCache>
                <c:formatCode>0.0%</c:formatCode>
                <c:ptCount val="15"/>
                <c:pt idx="0">
                  <c:v>0.58922606667927135</c:v>
                </c:pt>
                <c:pt idx="1">
                  <c:v>0.34577039812503496</c:v>
                </c:pt>
                <c:pt idx="2">
                  <c:v>7.5037425149700604E-2</c:v>
                </c:pt>
                <c:pt idx="3">
                  <c:v>6.8941583290925701E-2</c:v>
                </c:pt>
                <c:pt idx="4">
                  <c:v>9.8250315528352422E-2</c:v>
                </c:pt>
                <c:pt idx="5">
                  <c:v>9.9638365150907335E-2</c:v>
                </c:pt>
                <c:pt idx="6">
                  <c:v>9.8696804594315998E-2</c:v>
                </c:pt>
                <c:pt idx="7">
                  <c:v>0.10769808544924621</c:v>
                </c:pt>
                <c:pt idx="8">
                  <c:v>3.412250614566157E-2</c:v>
                </c:pt>
                <c:pt idx="9">
                  <c:v>0.15099439739884313</c:v>
                </c:pt>
                <c:pt idx="10">
                  <c:v>0.18467884502062462</c:v>
                </c:pt>
                <c:pt idx="11">
                  <c:v>0.26048793859649122</c:v>
                </c:pt>
                <c:pt idx="12">
                  <c:v>0.32101675332177931</c:v>
                </c:pt>
                <c:pt idx="13">
                  <c:v>0.26963105726872244</c:v>
                </c:pt>
                <c:pt idx="14">
                  <c:v>0.27400778210116733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'EDP Renováveis'!$C$12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Renováveis'!$D$12:$R$12</c:f>
              <c:numCache>
                <c:formatCode>#,##0</c:formatCode>
                <c:ptCount val="15"/>
                <c:pt idx="0">
                  <c:v>74.793999999999997</c:v>
                </c:pt>
                <c:pt idx="1">
                  <c:v>68.012</c:v>
                </c:pt>
                <c:pt idx="2">
                  <c:v>80.2</c:v>
                </c:pt>
                <c:pt idx="3">
                  <c:v>88.6</c:v>
                </c:pt>
                <c:pt idx="4">
                  <c:v>126.26600000000001</c:v>
                </c:pt>
                <c:pt idx="5">
                  <c:v>135.11600000000001</c:v>
                </c:pt>
                <c:pt idx="6">
                  <c:v>126.00700000000001</c:v>
                </c:pt>
                <c:pt idx="7">
                  <c:v>166.614</c:v>
                </c:pt>
                <c:pt idx="8">
                  <c:v>56.328000000000003</c:v>
                </c:pt>
                <c:pt idx="9">
                  <c:v>275.89499999999998</c:v>
                </c:pt>
                <c:pt idx="10">
                  <c:v>313.39999999999998</c:v>
                </c:pt>
                <c:pt idx="11">
                  <c:v>475.13</c:v>
                </c:pt>
                <c:pt idx="12">
                  <c:v>555.67999999999995</c:v>
                </c:pt>
                <c:pt idx="13">
                  <c:v>489.65</c:v>
                </c:pt>
                <c:pt idx="14">
                  <c:v>563.36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'EDP Renováveis'!$C$36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6D-4A2D-954E-43CF40DD6502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'EDP Renováveis'!$D$36:$R$36</c:f>
              <c:numCache>
                <c:formatCode>0.0</c:formatCode>
                <c:ptCount val="15"/>
                <c:pt idx="0">
                  <c:v>58.314046714977145</c:v>
                </c:pt>
                <c:pt idx="1">
                  <c:v>85.035039611539133</c:v>
                </c:pt>
                <c:pt idx="2">
                  <c:v>47.204706023441396</c:v>
                </c:pt>
                <c:pt idx="3">
                  <c:v>46.569047474717841</c:v>
                </c:pt>
                <c:pt idx="4">
                  <c:v>27.564899231622132</c:v>
                </c:pt>
                <c:pt idx="5">
                  <c:v>24.920139031054795</c:v>
                </c:pt>
                <c:pt idx="6">
                  <c:v>37.382558705468746</c:v>
                </c:pt>
                <c:pt idx="7">
                  <c:v>37.957399585268945</c:v>
                </c:pt>
                <c:pt idx="8">
                  <c:v>93.536807599772757</c:v>
                </c:pt>
                <c:pt idx="9">
                  <c:v>22.037325392413784</c:v>
                </c:pt>
                <c:pt idx="10">
                  <c:v>21.640701849234208</c:v>
                </c:pt>
                <c:pt idx="11">
                  <c:v>19.277325576158102</c:v>
                </c:pt>
                <c:pt idx="12">
                  <c:v>34.378686920169883</c:v>
                </c:pt>
                <c:pt idx="13">
                  <c:v>33.376867150005111</c:v>
                </c:pt>
                <c:pt idx="14">
                  <c:v>29.162517750639026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'EDP Renováveis'!$C$38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5F-458A-8FA1-A12AC267E6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5F-458A-8FA1-A12AC267E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Renováveis'!$D$38:$R$38</c:f>
              <c:numCache>
                <c:formatCode>0%</c:formatCode>
                <c:ptCount val="15"/>
                <c:pt idx="0">
                  <c:v>2.3021720284377021E-2</c:v>
                </c:pt>
                <c:pt idx="1">
                  <c:v>3.2837577462832383E-2</c:v>
                </c:pt>
                <c:pt idx="2">
                  <c:v>5.3744901742677043E-2</c:v>
                </c:pt>
                <c:pt idx="3">
                  <c:v>6.3714704803813721E-2</c:v>
                </c:pt>
                <c:pt idx="4">
                  <c:v>7.8295276584249271E-2</c:v>
                </c:pt>
                <c:pt idx="5">
                  <c:v>7.7699533754517616E-2</c:v>
                </c:pt>
                <c:pt idx="6">
                  <c:v>6.672327915183629E-2</c:v>
                </c:pt>
                <c:pt idx="7">
                  <c:v>9.6774074694356046E-2</c:v>
                </c:pt>
                <c:pt idx="8">
                  <c:v>9.2074938775510193E-2</c:v>
                </c:pt>
                <c:pt idx="9">
                  <c:v>0.12677774269928965</c:v>
                </c:pt>
                <c:pt idx="10">
                  <c:v>0.11579351666922723</c:v>
                </c:pt>
                <c:pt idx="11">
                  <c:v>0.15129786318657679</c:v>
                </c:pt>
                <c:pt idx="12">
                  <c:v>0.14344039194338595</c:v>
                </c:pt>
                <c:pt idx="13">
                  <c:v>0.12001903175924825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'EDP Renováveis'!$C$39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5F-458A-8FA1-A12AC267E69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5F-458A-8FA1-A12AC267E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Renováveis'!$D$39:$R$39</c:f>
              <c:numCache>
                <c:formatCode>0%</c:formatCode>
                <c:ptCount val="15"/>
                <c:pt idx="0">
                  <c:v>1.4386579552914641E-2</c:v>
                </c:pt>
                <c:pt idx="1">
                  <c:v>1.2766081251155548E-2</c:v>
                </c:pt>
                <c:pt idx="2">
                  <c:v>1.4868372265480163E-2</c:v>
                </c:pt>
                <c:pt idx="3">
                  <c:v>1.6244957829116245E-2</c:v>
                </c:pt>
                <c:pt idx="4">
                  <c:v>2.1963784959957919E-2</c:v>
                </c:pt>
                <c:pt idx="5">
                  <c:v>2.2188371582804227E-2</c:v>
                </c:pt>
                <c:pt idx="6">
                  <c:v>1.9903932530048924E-2</c:v>
                </c:pt>
                <c:pt idx="7">
                  <c:v>2.7903868698710435E-2</c:v>
                </c:pt>
                <c:pt idx="8">
                  <c:v>9.1964081632653072E-3</c:v>
                </c:pt>
                <c:pt idx="9">
                  <c:v>4.3550907655880031E-2</c:v>
                </c:pt>
                <c:pt idx="10">
                  <c:v>4.8148717160854199E-2</c:v>
                </c:pt>
                <c:pt idx="11">
                  <c:v>6.8138534346766103E-2</c:v>
                </c:pt>
                <c:pt idx="12">
                  <c:v>7.5623298856831778E-2</c:v>
                </c:pt>
                <c:pt idx="13">
                  <c:v>5.8243130724396332E-2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'EDP Renováveis'!$C$37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'EDP Renováveis'!$D$3:$R$3</c:f>
              <c:strCache>
                <c:ptCount val="1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21*</c:v>
                </c:pt>
                <c:pt idx="14">
                  <c:v>22*</c:v>
                </c:pt>
              </c:strCache>
            </c:strRef>
          </c:cat>
          <c:val>
            <c:numRef>
              <c:f>'EDP Renováveis'!$D$37:$R$37</c:f>
              <c:numCache>
                <c:formatCode>0.0</c:formatCode>
                <c:ptCount val="15"/>
                <c:pt idx="0">
                  <c:v>0.83893967211739939</c:v>
                </c:pt>
                <c:pt idx="1">
                  <c:v>1.0855642248761392</c:v>
                </c:pt>
                <c:pt idx="2">
                  <c:v>0.70185714183908043</c:v>
                </c:pt>
                <c:pt idx="3">
                  <c:v>0.75651221236890365</c:v>
                </c:pt>
                <c:pt idx="4">
                  <c:v>0.60542951916625776</c:v>
                </c:pt>
                <c:pt idx="5">
                  <c:v>0.55293730471618674</c:v>
                </c:pt>
                <c:pt idx="6">
                  <c:v>0.744059926274243</c:v>
                </c:pt>
                <c:pt idx="7">
                  <c:v>1.0591582941718305</c:v>
                </c:pt>
                <c:pt idx="8">
                  <c:v>0.86020266097632658</c:v>
                </c:pt>
                <c:pt idx="9">
                  <c:v>0.95974552314759276</c:v>
                </c:pt>
                <c:pt idx="10">
                  <c:v>1.0419720325011523</c:v>
                </c:pt>
                <c:pt idx="11">
                  <c:v>1.3135287108848415</c:v>
                </c:pt>
                <c:pt idx="12">
                  <c:v>2.5998297152694612</c:v>
                </c:pt>
                <c:pt idx="13">
                  <c:v>1.9439732365885574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'EDP Renováveis'!$C$41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'EDP Renováveis'!$D$41:$R$41</c:f>
              <c:numCache>
                <c:formatCode>0.0</c:formatCode>
                <c:ptCount val="15"/>
                <c:pt idx="0">
                  <c:v>0.9379578871868437</c:v>
                </c:pt>
                <c:pt idx="1">
                  <c:v>0.88747260158489294</c:v>
                </c:pt>
                <c:pt idx="2">
                  <c:v>0.97553736916439349</c:v>
                </c:pt>
                <c:pt idx="3">
                  <c:v>0.8221651269088488</c:v>
                </c:pt>
                <c:pt idx="4">
                  <c:v>0.82455132390023989</c:v>
                </c:pt>
                <c:pt idx="5">
                  <c:v>0.90281511002808834</c:v>
                </c:pt>
                <c:pt idx="6">
                  <c:v>0.80822389601832856</c:v>
                </c:pt>
                <c:pt idx="7">
                  <c:v>0.68234769358562941</c:v>
                </c:pt>
                <c:pt idx="8">
                  <c:v>0.86555339422488609</c:v>
                </c:pt>
                <c:pt idx="9">
                  <c:v>0.62500825274981631</c:v>
                </c:pt>
                <c:pt idx="10">
                  <c:v>0.60088888888888892</c:v>
                </c:pt>
                <c:pt idx="11">
                  <c:v>0.64035801464605369</c:v>
                </c:pt>
                <c:pt idx="12">
                  <c:v>0.72060206961429918</c:v>
                </c:pt>
                <c:pt idx="13">
                  <c:v>1.1532790065968179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'EDP Renováveis'!$C$45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'EDP Renováveis'!$D$45:$R$45</c:f>
              <c:numCache>
                <c:formatCode>0.0</c:formatCode>
                <c:ptCount val="15"/>
                <c:pt idx="0">
                  <c:v>0.81172111724983476</c:v>
                </c:pt>
                <c:pt idx="1">
                  <c:v>1.1198870776556975</c:v>
                </c:pt>
                <c:pt idx="2">
                  <c:v>1.3796811271783462</c:v>
                </c:pt>
                <c:pt idx="3">
                  <c:v>1.3942060872753943</c:v>
                </c:pt>
                <c:pt idx="4">
                  <c:v>1.313858635857367</c:v>
                </c:pt>
                <c:pt idx="5">
                  <c:v>1.15316965476289</c:v>
                </c:pt>
                <c:pt idx="6">
                  <c:v>1.2613113214387091</c:v>
                </c:pt>
                <c:pt idx="7">
                  <c:v>1.6354044548651818</c:v>
                </c:pt>
                <c:pt idx="8">
                  <c:v>1.7322448979591836</c:v>
                </c:pt>
                <c:pt idx="9">
                  <c:v>1.5610102604577742</c:v>
                </c:pt>
                <c:pt idx="10" formatCode="0.000">
                  <c:v>1.694576739898602</c:v>
                </c:pt>
                <c:pt idx="11">
                  <c:v>1.5373583823318515</c:v>
                </c:pt>
                <c:pt idx="12">
                  <c:v>1.4718290691344584</c:v>
                </c:pt>
                <c:pt idx="13">
                  <c:v>1.491019388604734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'Estoril Sol'!$C$26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'Estoril Sol'!$H$26:$AE$26</c:f>
              <c:numCache>
                <c:formatCode>#,##0</c:formatCode>
                <c:ptCount val="24"/>
                <c:pt idx="0">
                  <c:v>236.21500000000003</c:v>
                </c:pt>
                <c:pt idx="1">
                  <c:v>129.59100000000001</c:v>
                </c:pt>
                <c:pt idx="2">
                  <c:v>166.005</c:v>
                </c:pt>
                <c:pt idx="3">
                  <c:v>129.23400000000001</c:v>
                </c:pt>
                <c:pt idx="4">
                  <c:v>112.455</c:v>
                </c:pt>
                <c:pt idx="5">
                  <c:v>108.52799999999999</c:v>
                </c:pt>
                <c:pt idx="6">
                  <c:v>103.054</c:v>
                </c:pt>
                <c:pt idx="7">
                  <c:v>92.225000000000009</c:v>
                </c:pt>
                <c:pt idx="8">
                  <c:v>94.129000000000005</c:v>
                </c:pt>
                <c:pt idx="9">
                  <c:v>117.57200000000002</c:v>
                </c:pt>
                <c:pt idx="10">
                  <c:v>104.72000000000001</c:v>
                </c:pt>
                <c:pt idx="11">
                  <c:v>87.822000000000003</c:v>
                </c:pt>
                <c:pt idx="12">
                  <c:v>72.709000000000003</c:v>
                </c:pt>
                <c:pt idx="13">
                  <c:v>28.321999999999999</c:v>
                </c:pt>
                <c:pt idx="14">
                  <c:v>13.923</c:v>
                </c:pt>
                <c:pt idx="15">
                  <c:v>14.28</c:v>
                </c:pt>
                <c:pt idx="16">
                  <c:v>11.781000000000001</c:v>
                </c:pt>
                <c:pt idx="17">
                  <c:v>11.067</c:v>
                </c:pt>
                <c:pt idx="18">
                  <c:v>29.469863930000002</c:v>
                </c:pt>
                <c:pt idx="19">
                  <c:v>123.65488204</c:v>
                </c:pt>
                <c:pt idx="20">
                  <c:v>114.5387424</c:v>
                </c:pt>
                <c:pt idx="21">
                  <c:v>106.71100000000001</c:v>
                </c:pt>
                <c:pt idx="22">
                  <c:v>59.655595000000005</c:v>
                </c:pt>
                <c:pt idx="23">
                  <c:v>66.217710449999998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'Estoril Sol'!$C$5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E0-41C0-803E-C861D8ABB950}"/>
                </c:ext>
              </c:extLst>
            </c:dLbl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E0-41C0-803E-C861D8ABB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Sol'!$H$5:$AE$5</c:f>
              <c:numCache>
                <c:formatCode>#,##0</c:formatCode>
                <c:ptCount val="24"/>
                <c:pt idx="0">
                  <c:v>11.9</c:v>
                </c:pt>
                <c:pt idx="1">
                  <c:v>11.9</c:v>
                </c:pt>
                <c:pt idx="2">
                  <c:v>11.9</c:v>
                </c:pt>
                <c:pt idx="3">
                  <c:v>11.9</c:v>
                </c:pt>
                <c:pt idx="4">
                  <c:v>11.9</c:v>
                </c:pt>
                <c:pt idx="5">
                  <c:v>11.9</c:v>
                </c:pt>
                <c:pt idx="6">
                  <c:v>11.9</c:v>
                </c:pt>
                <c:pt idx="7">
                  <c:v>11.9</c:v>
                </c:pt>
                <c:pt idx="8">
                  <c:v>11.9</c:v>
                </c:pt>
                <c:pt idx="9">
                  <c:v>11.9</c:v>
                </c:pt>
                <c:pt idx="10">
                  <c:v>11.9</c:v>
                </c:pt>
                <c:pt idx="11">
                  <c:v>11.9</c:v>
                </c:pt>
                <c:pt idx="12">
                  <c:v>11.9</c:v>
                </c:pt>
                <c:pt idx="13">
                  <c:v>11.9</c:v>
                </c:pt>
                <c:pt idx="14">
                  <c:v>11.9</c:v>
                </c:pt>
                <c:pt idx="15">
                  <c:v>11.9</c:v>
                </c:pt>
                <c:pt idx="16">
                  <c:v>11.9</c:v>
                </c:pt>
                <c:pt idx="17">
                  <c:v>11.9</c:v>
                </c:pt>
                <c:pt idx="18">
                  <c:v>11.931119000000001</c:v>
                </c:pt>
                <c:pt idx="19">
                  <c:v>11.993684</c:v>
                </c:pt>
                <c:pt idx="20">
                  <c:v>11.931119000000001</c:v>
                </c:pt>
                <c:pt idx="21">
                  <c:v>11.99</c:v>
                </c:pt>
                <c:pt idx="22">
                  <c:v>11.931119000000001</c:v>
                </c:pt>
                <c:pt idx="23">
                  <c:v>11.931119000000001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'Estoril Sol'!$C$6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Sol'!$H$6:$AE$6</c:f>
              <c:numCache>
                <c:formatCode>#,##0</c:formatCode>
                <c:ptCount val="24"/>
                <c:pt idx="0">
                  <c:v>77.47</c:v>
                </c:pt>
                <c:pt idx="1">
                  <c:v>85.649999999999991</c:v>
                </c:pt>
                <c:pt idx="2">
                  <c:v>94.34</c:v>
                </c:pt>
                <c:pt idx="3">
                  <c:v>102.06</c:v>
                </c:pt>
                <c:pt idx="4">
                  <c:v>105.91</c:v>
                </c:pt>
                <c:pt idx="5">
                  <c:v>98.77</c:v>
                </c:pt>
                <c:pt idx="6">
                  <c:v>103.62</c:v>
                </c:pt>
                <c:pt idx="7">
                  <c:v>106.13365</c:v>
                </c:pt>
                <c:pt idx="8">
                  <c:v>133.374</c:v>
                </c:pt>
                <c:pt idx="9">
                  <c:v>152.22</c:v>
                </c:pt>
                <c:pt idx="10">
                  <c:v>145.2131</c:v>
                </c:pt>
                <c:pt idx="11">
                  <c:v>130.5</c:v>
                </c:pt>
                <c:pt idx="12">
                  <c:v>128.07</c:v>
                </c:pt>
                <c:pt idx="13">
                  <c:v>118.37287999999999</c:v>
                </c:pt>
                <c:pt idx="14">
                  <c:v>89.125283999999994</c:v>
                </c:pt>
                <c:pt idx="15">
                  <c:v>81.100386999999998</c:v>
                </c:pt>
                <c:pt idx="16">
                  <c:v>78.5</c:v>
                </c:pt>
                <c:pt idx="17">
                  <c:v>87.2</c:v>
                </c:pt>
                <c:pt idx="18">
                  <c:v>92.5</c:v>
                </c:pt>
                <c:pt idx="19">
                  <c:v>103.5</c:v>
                </c:pt>
                <c:pt idx="20">
                  <c:v>107.12</c:v>
                </c:pt>
                <c:pt idx="21">
                  <c:v>111</c:v>
                </c:pt>
                <c:pt idx="2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'Estoril Sol'!$C$27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'Estoril Sol'!$H$27:$AE$27</c:f>
              <c:numCache>
                <c:formatCode>0.0</c:formatCode>
                <c:ptCount val="24"/>
                <c:pt idx="0">
                  <c:v>3.0491157867561642</c:v>
                </c:pt>
                <c:pt idx="1">
                  <c:v>1.5130297723292472</c:v>
                </c:pt>
                <c:pt idx="2">
                  <c:v>1.7596459614161541</c:v>
                </c:pt>
                <c:pt idx="3">
                  <c:v>1.2662551440329219</c:v>
                </c:pt>
                <c:pt idx="4">
                  <c:v>1.0617977528089888</c:v>
                </c:pt>
                <c:pt idx="5">
                  <c:v>1.0987951807228915</c:v>
                </c:pt>
                <c:pt idx="6">
                  <c:v>0.99453773402817991</c:v>
                </c:pt>
                <c:pt idx="7">
                  <c:v>0.86895155306540395</c:v>
                </c:pt>
                <c:pt idx="8">
                  <c:v>0.70575224556510274</c:v>
                </c:pt>
                <c:pt idx="9">
                  <c:v>0.77238207857049024</c:v>
                </c:pt>
                <c:pt idx="10">
                  <c:v>0.72114705904632581</c:v>
                </c:pt>
                <c:pt idx="11">
                  <c:v>0.67296551724137932</c:v>
                </c:pt>
                <c:pt idx="12">
                  <c:v>0.56772858592956987</c:v>
                </c:pt>
                <c:pt idx="13">
                  <c:v>0.23926088475671117</c:v>
                </c:pt>
                <c:pt idx="14">
                  <c:v>0.15621829603370466</c:v>
                </c:pt>
                <c:pt idx="15">
                  <c:v>0.17607807469525391</c:v>
                </c:pt>
                <c:pt idx="16">
                  <c:v>0.15007643312101912</c:v>
                </c:pt>
                <c:pt idx="17">
                  <c:v>0.1269151376146789</c:v>
                </c:pt>
                <c:pt idx="18">
                  <c:v>0.31859312356756758</c:v>
                </c:pt>
                <c:pt idx="19">
                  <c:v>1.1947331598067634</c:v>
                </c:pt>
                <c:pt idx="20">
                  <c:v>1.0692563704256908</c:v>
                </c:pt>
                <c:pt idx="21">
                  <c:v>0.96136036036036043</c:v>
                </c:pt>
                <c:pt idx="22">
                  <c:v>0.80615668918918926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'Estoril Sol'!$C$7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Sol'!$H$7:$AE$7</c:f>
              <c:numCache>
                <c:formatCode>#,##0</c:formatCode>
                <c:ptCount val="24"/>
                <c:pt idx="0">
                  <c:v>24.21</c:v>
                </c:pt>
                <c:pt idx="1">
                  <c:v>28.43</c:v>
                </c:pt>
                <c:pt idx="2">
                  <c:v>36.42</c:v>
                </c:pt>
                <c:pt idx="3">
                  <c:v>28.87</c:v>
                </c:pt>
                <c:pt idx="4">
                  <c:v>29.02</c:v>
                </c:pt>
                <c:pt idx="5">
                  <c:v>5.1130000000000004</c:v>
                </c:pt>
                <c:pt idx="6">
                  <c:v>35.74</c:v>
                </c:pt>
                <c:pt idx="7">
                  <c:v>34.340000000000003</c:v>
                </c:pt>
                <c:pt idx="8">
                  <c:v>43.99</c:v>
                </c:pt>
                <c:pt idx="9">
                  <c:v>56.825000000000003</c:v>
                </c:pt>
                <c:pt idx="10">
                  <c:v>36.18</c:v>
                </c:pt>
                <c:pt idx="11">
                  <c:v>48.347700000000003</c:v>
                </c:pt>
                <c:pt idx="12">
                  <c:v>42.127552000000001</c:v>
                </c:pt>
                <c:pt idx="13">
                  <c:v>27.06</c:v>
                </c:pt>
                <c:pt idx="14">
                  <c:v>20.440000000000001</c:v>
                </c:pt>
                <c:pt idx="15">
                  <c:v>27.3</c:v>
                </c:pt>
                <c:pt idx="16">
                  <c:v>25.9</c:v>
                </c:pt>
                <c:pt idx="17">
                  <c:v>29.5</c:v>
                </c:pt>
                <c:pt idx="18">
                  <c:v>30.7</c:v>
                </c:pt>
                <c:pt idx="19">
                  <c:v>35.1</c:v>
                </c:pt>
                <c:pt idx="20">
                  <c:v>36.200000000000003</c:v>
                </c:pt>
                <c:pt idx="21">
                  <c:v>34.200000000000003</c:v>
                </c:pt>
                <c:pt idx="2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'Estoril Sol'!$C$28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'Estoril Sol'!$H$28:$AE$28</c:f>
              <c:numCache>
                <c:formatCode>0.0</c:formatCode>
                <c:ptCount val="24"/>
                <c:pt idx="0">
                  <c:v>9.7569186286658418</c:v>
                </c:pt>
                <c:pt idx="1">
                  <c:v>4.5582483292296869</c:v>
                </c:pt>
                <c:pt idx="2">
                  <c:v>4.558072487644151</c:v>
                </c:pt>
                <c:pt idx="3">
                  <c:v>4.4764114998268099</c:v>
                </c:pt>
                <c:pt idx="4">
                  <c:v>3.8750861474844935</c:v>
                </c:pt>
                <c:pt idx="5">
                  <c:v>21.225894778016816</c:v>
                </c:pt>
                <c:pt idx="6">
                  <c:v>2.8834359261331839</c:v>
                </c:pt>
                <c:pt idx="7">
                  <c:v>2.6856435643564356</c:v>
                </c:pt>
                <c:pt idx="8">
                  <c:v>2.1397817685837692</c:v>
                </c:pt>
                <c:pt idx="9">
                  <c:v>2.0690189177298728</c:v>
                </c:pt>
                <c:pt idx="10">
                  <c:v>2.8944168048645667</c:v>
                </c:pt>
                <c:pt idx="11">
                  <c:v>1.816466967404861</c:v>
                </c:pt>
                <c:pt idx="12">
                  <c:v>1.725925114281504</c:v>
                </c:pt>
                <c:pt idx="13">
                  <c:v>1.0466371027346637</c:v>
                </c:pt>
                <c:pt idx="14">
                  <c:v>0.68116438356164377</c:v>
                </c:pt>
                <c:pt idx="15">
                  <c:v>0.52307692307692299</c:v>
                </c:pt>
                <c:pt idx="16">
                  <c:v>0.45486486486486494</c:v>
                </c:pt>
                <c:pt idx="17">
                  <c:v>0.37515254237288137</c:v>
                </c:pt>
                <c:pt idx="18">
                  <c:v>0.95993042117263849</c:v>
                </c:pt>
                <c:pt idx="19">
                  <c:v>3.5229311122507121</c:v>
                </c:pt>
                <c:pt idx="20">
                  <c:v>3.1640536574585636</c:v>
                </c:pt>
                <c:pt idx="21">
                  <c:v>3.1202046783625734</c:v>
                </c:pt>
                <c:pt idx="22">
                  <c:v>9.3211867187500008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'Estoril Sol'!$C$32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5-4CEA-B030-57F165010394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5-4CEA-B030-57F16501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Sol'!$H$32:$AE$32</c:f>
              <c:numCache>
                <c:formatCode>0.0%</c:formatCode>
                <c:ptCount val="24"/>
                <c:pt idx="0">
                  <c:v>0.31250806763908612</c:v>
                </c:pt>
                <c:pt idx="1">
                  <c:v>0.33193228254524232</c:v>
                </c:pt>
                <c:pt idx="2">
                  <c:v>0.38605045579817682</c:v>
                </c:pt>
                <c:pt idx="3">
                  <c:v>0.28287281990985697</c:v>
                </c:pt>
                <c:pt idx="4">
                  <c:v>0.27400623170616561</c:v>
                </c:pt>
                <c:pt idx="5">
                  <c:v>5.1766730788701032E-2</c:v>
                </c:pt>
                <c:pt idx="6">
                  <c:v>0.34491410924531946</c:v>
                </c:pt>
                <c:pt idx="7">
                  <c:v>0.32355431100315502</c:v>
                </c:pt>
                <c:pt idx="8">
                  <c:v>0.32982440355691517</c:v>
                </c:pt>
                <c:pt idx="9">
                  <c:v>0.3733083694652477</c:v>
                </c:pt>
                <c:pt idx="10">
                  <c:v>0.24915107521291124</c:v>
                </c:pt>
                <c:pt idx="11">
                  <c:v>0.37048045977011496</c:v>
                </c:pt>
                <c:pt idx="12">
                  <c:v>0.32894161005700012</c:v>
                </c:pt>
                <c:pt idx="13">
                  <c:v>0.22859965897594112</c:v>
                </c:pt>
                <c:pt idx="14">
                  <c:v>0.22934008266386005</c:v>
                </c:pt>
                <c:pt idx="15">
                  <c:v>0.3366198486821031</c:v>
                </c:pt>
                <c:pt idx="16">
                  <c:v>0.32993630573248406</c:v>
                </c:pt>
                <c:pt idx="17">
                  <c:v>0.33830275229357798</c:v>
                </c:pt>
                <c:pt idx="18">
                  <c:v>0.33189189189189189</c:v>
                </c:pt>
                <c:pt idx="19">
                  <c:v>0.33913043478260874</c:v>
                </c:pt>
                <c:pt idx="20">
                  <c:v>0.33793876026885739</c:v>
                </c:pt>
                <c:pt idx="21">
                  <c:v>0.30810810810810813</c:v>
                </c:pt>
                <c:pt idx="22">
                  <c:v>8.6486486486486491E-2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'Estoril Sol'!$C$33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5-4CEA-B030-57F165010394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5-4CEA-B030-57F16501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Sol'!$H$33:$AE$33</c:f>
              <c:numCache>
                <c:formatCode>0.0%</c:formatCode>
                <c:ptCount val="24"/>
                <c:pt idx="0">
                  <c:v>0.13669807667484188</c:v>
                </c:pt>
                <c:pt idx="1">
                  <c:v>0.1388207822533567</c:v>
                </c:pt>
                <c:pt idx="2">
                  <c:v>0.13292988128047487</c:v>
                </c:pt>
                <c:pt idx="3">
                  <c:v>0.11648857534783461</c:v>
                </c:pt>
                <c:pt idx="4">
                  <c:v>0.10541267113587008</c:v>
                </c:pt>
                <c:pt idx="5">
                  <c:v>-0.13904351523742028</c:v>
                </c:pt>
                <c:pt idx="6">
                  <c:v>9.8701949430611849E-2</c:v>
                </c:pt>
                <c:pt idx="7">
                  <c:v>0.11891042096451032</c:v>
                </c:pt>
                <c:pt idx="8">
                  <c:v>0.13470634456490771</c:v>
                </c:pt>
                <c:pt idx="9">
                  <c:v>0.17746183155958481</c:v>
                </c:pt>
                <c:pt idx="10">
                  <c:v>3.3510688773946702E-2</c:v>
                </c:pt>
                <c:pt idx="11">
                  <c:v>0.1244127203065134</c:v>
                </c:pt>
                <c:pt idx="12">
                  <c:v>8.2292308893573821E-2</c:v>
                </c:pt>
                <c:pt idx="13">
                  <c:v>-1.2328685421863522E-2</c:v>
                </c:pt>
                <c:pt idx="14">
                  <c:v>-1.8543335020396682E-3</c:v>
                </c:pt>
                <c:pt idx="15">
                  <c:v>8.7181926764418521E-2</c:v>
                </c:pt>
                <c:pt idx="16">
                  <c:v>6.405826751592357E-2</c:v>
                </c:pt>
                <c:pt idx="17">
                  <c:v>9.7477064220183485E-2</c:v>
                </c:pt>
                <c:pt idx="18">
                  <c:v>0.11135135135135137</c:v>
                </c:pt>
                <c:pt idx="19">
                  <c:v>0.14879227053140098</c:v>
                </c:pt>
                <c:pt idx="20">
                  <c:v>0.15683345780433158</c:v>
                </c:pt>
                <c:pt idx="21">
                  <c:v>0.13423423423423425</c:v>
                </c:pt>
                <c:pt idx="22">
                  <c:v>-0.16891891891891891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'Estoril Sol'!$C$35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5-4CEA-B030-57F165010394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5-4CEA-B030-57F16501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Sol'!$H$35:$AE$35</c:f>
              <c:numCache>
                <c:formatCode>0.0%</c:formatCode>
                <c:ptCount val="24"/>
                <c:pt idx="0">
                  <c:v>7.0169097715244613E-2</c:v>
                </c:pt>
                <c:pt idx="1">
                  <c:v>9.3099824868651496E-2</c:v>
                </c:pt>
                <c:pt idx="2">
                  <c:v>9.6956964172143306E-2</c:v>
                </c:pt>
                <c:pt idx="3">
                  <c:v>9.8576278659611993E-2</c:v>
                </c:pt>
                <c:pt idx="4">
                  <c:v>9.5106439429704467E-2</c:v>
                </c:pt>
                <c:pt idx="5">
                  <c:v>-0.2139243292497722</c:v>
                </c:pt>
                <c:pt idx="6">
                  <c:v>-6.8745705462265961E-3</c:v>
                </c:pt>
                <c:pt idx="7">
                  <c:v>3.0013864594311039E-2</c:v>
                </c:pt>
                <c:pt idx="8">
                  <c:v>0.14301032435107291</c:v>
                </c:pt>
                <c:pt idx="9">
                  <c:v>0.10755779135461832</c:v>
                </c:pt>
                <c:pt idx="10">
                  <c:v>-6.1652488652883253E-2</c:v>
                </c:pt>
                <c:pt idx="11">
                  <c:v>7.047832950191571E-2</c:v>
                </c:pt>
                <c:pt idx="12">
                  <c:v>3.3597923010853438E-2</c:v>
                </c:pt>
                <c:pt idx="13">
                  <c:v>-7.0191981474134968E-2</c:v>
                </c:pt>
                <c:pt idx="14">
                  <c:v>-0.10082610227643146</c:v>
                </c:pt>
                <c:pt idx="15">
                  <c:v>-1.0963202925283206E-2</c:v>
                </c:pt>
                <c:pt idx="16">
                  <c:v>-2.2118254777070065E-2</c:v>
                </c:pt>
                <c:pt idx="17">
                  <c:v>4.8119988532110088E-2</c:v>
                </c:pt>
                <c:pt idx="18">
                  <c:v>7.0864205405405403E-2</c:v>
                </c:pt>
                <c:pt idx="19">
                  <c:v>0.10314017391304348</c:v>
                </c:pt>
                <c:pt idx="20">
                  <c:v>0.12882748319641524</c:v>
                </c:pt>
                <c:pt idx="21">
                  <c:v>8.9189189189189194E-2</c:v>
                </c:pt>
                <c:pt idx="22">
                  <c:v>-0.27432432432432435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'Estoril Sol'!$C$12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Sol'!$H$12:$AE$12</c:f>
              <c:numCache>
                <c:formatCode>#,##0</c:formatCode>
                <c:ptCount val="24"/>
                <c:pt idx="0">
                  <c:v>5.4359999999999999</c:v>
                </c:pt>
                <c:pt idx="1">
                  <c:v>7.9740000000000002</c:v>
                </c:pt>
                <c:pt idx="2">
                  <c:v>9.1469199999999997</c:v>
                </c:pt>
                <c:pt idx="3">
                  <c:v>10.060695000000001</c:v>
                </c:pt>
                <c:pt idx="4">
                  <c:v>10.072723</c:v>
                </c:pt>
                <c:pt idx="5">
                  <c:v>-21.129306</c:v>
                </c:pt>
                <c:pt idx="6">
                  <c:v>-0.71234299999999995</c:v>
                </c:pt>
                <c:pt idx="7">
                  <c:v>3.1854809999999998</c:v>
                </c:pt>
                <c:pt idx="8">
                  <c:v>19.073858999999999</c:v>
                </c:pt>
                <c:pt idx="9">
                  <c:v>16.372447000000001</c:v>
                </c:pt>
                <c:pt idx="10">
                  <c:v>-8.9527490000000007</c:v>
                </c:pt>
                <c:pt idx="11">
                  <c:v>9.1974219999999995</c:v>
                </c:pt>
                <c:pt idx="12">
                  <c:v>4.302886</c:v>
                </c:pt>
                <c:pt idx="13">
                  <c:v>-8.3088270000000009</c:v>
                </c:pt>
                <c:pt idx="14">
                  <c:v>-8.9861550000000001</c:v>
                </c:pt>
                <c:pt idx="15">
                  <c:v>-0.88912000000000002</c:v>
                </c:pt>
                <c:pt idx="16">
                  <c:v>-1.736283</c:v>
                </c:pt>
                <c:pt idx="17">
                  <c:v>4.1960629999999997</c:v>
                </c:pt>
                <c:pt idx="18">
                  <c:v>6.5549390000000001</c:v>
                </c:pt>
                <c:pt idx="19">
                  <c:v>10.675008</c:v>
                </c:pt>
                <c:pt idx="20">
                  <c:v>13.8</c:v>
                </c:pt>
                <c:pt idx="21">
                  <c:v>9.9</c:v>
                </c:pt>
                <c:pt idx="22">
                  <c:v>-20.3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'Estoril Sol'!$C$36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CF-49A3-B1F2-0E47FC46DDA1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'Estoril Sol'!$H$36:$AE$36</c:f>
              <c:numCache>
                <c:formatCode>0.0</c:formatCode>
                <c:ptCount val="24"/>
                <c:pt idx="0">
                  <c:v>43.453826342899198</c:v>
                </c:pt>
                <c:pt idx="1">
                  <c:v>16.251693002257337</c:v>
                </c:pt>
                <c:pt idx="2">
                  <c:v>18.148732032203188</c:v>
                </c:pt>
                <c:pt idx="3">
                  <c:v>12.845434634485986</c:v>
                </c:pt>
                <c:pt idx="4">
                  <c:v>11.164309789914803</c:v>
                </c:pt>
                <c:pt idx="5">
                  <c:v>0</c:v>
                </c:pt>
                <c:pt idx="6">
                  <c:v>0</c:v>
                </c:pt>
                <c:pt idx="7">
                  <c:v>28.951671662772441</c:v>
                </c:pt>
                <c:pt idx="8">
                  <c:v>4.9349740920282574</c:v>
                </c:pt>
                <c:pt idx="9">
                  <c:v>7.1810890577321773</c:v>
                </c:pt>
                <c:pt idx="10">
                  <c:v>0</c:v>
                </c:pt>
                <c:pt idx="11">
                  <c:v>9.5485452336535186</c:v>
                </c:pt>
                <c:pt idx="12">
                  <c:v>16.897728640730897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2.6374723163117428</c:v>
                </c:pt>
                <c:pt idx="18">
                  <c:v>4.4958258086002028</c:v>
                </c:pt>
                <c:pt idx="19">
                  <c:v>11.583586826351793</c:v>
                </c:pt>
                <c:pt idx="20">
                  <c:v>8.2999088695652166</c:v>
                </c:pt>
                <c:pt idx="21">
                  <c:v>10.77888888888889</c:v>
                </c:pt>
                <c:pt idx="22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'Estoril Sol'!$C$38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2F-46BB-93A2-108140731041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F-46BB-93A2-108140731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Sol'!$H$38:$AE$38</c:f>
              <c:numCache>
                <c:formatCode>0%</c:formatCode>
                <c:ptCount val="24"/>
                <c:pt idx="0">
                  <c:v>0.13939713044622878</c:v>
                </c:pt>
                <c:pt idx="1">
                  <c:v>0.12921104107802653</c:v>
                </c:pt>
                <c:pt idx="2">
                  <c:v>0.12025661600514558</c:v>
                </c:pt>
                <c:pt idx="3">
                  <c:v>0.1102402976415265</c:v>
                </c:pt>
                <c:pt idx="4">
                  <c:v>9.9204560987719945E-2</c:v>
                </c:pt>
                <c:pt idx="5">
                  <c:v>-0.14991808629051875</c:v>
                </c:pt>
                <c:pt idx="6">
                  <c:v>0.16165580114812889</c:v>
                </c:pt>
                <c:pt idx="7">
                  <c:v>0.18960901372294886</c:v>
                </c:pt>
                <c:pt idx="8">
                  <c:v>0.22846265816837188</c:v>
                </c:pt>
                <c:pt idx="9">
                  <c:v>0.29613271302085603</c:v>
                </c:pt>
                <c:pt idx="10">
                  <c:v>6.2236862615817283E-2</c:v>
                </c:pt>
                <c:pt idx="11">
                  <c:v>0.18583188378406879</c:v>
                </c:pt>
                <c:pt idx="12">
                  <c:v>0.11883343126958361</c:v>
                </c:pt>
                <c:pt idx="13">
                  <c:v>-1.8855786430170447E-2</c:v>
                </c:pt>
                <c:pt idx="14">
                  <c:v>-2.40891236356182E-3</c:v>
                </c:pt>
                <c:pt idx="15">
                  <c:v>0.10441110765362406</c:v>
                </c:pt>
                <c:pt idx="16">
                  <c:v>7.5696776048215564E-2</c:v>
                </c:pt>
                <c:pt idx="17">
                  <c:v>0.12036156273601485</c:v>
                </c:pt>
                <c:pt idx="18">
                  <c:v>0.13446475195822455</c:v>
                </c:pt>
                <c:pt idx="19">
                  <c:v>0.18487394957983194</c:v>
                </c:pt>
                <c:pt idx="20">
                  <c:v>0.18181818181818182</c:v>
                </c:pt>
                <c:pt idx="21">
                  <c:v>0.15345005149330587</c:v>
                </c:pt>
                <c:pt idx="22">
                  <c:v>-0.16276041666666669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'Estoril Sol'!$C$39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F-46BB-93A2-108140731041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F-46BB-93A2-108140731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Sol'!$H$39:$AE$39</c:f>
              <c:numCache>
                <c:formatCode>0%</c:formatCode>
                <c:ptCount val="24"/>
                <c:pt idx="0">
                  <c:v>7.155456101092536E-2</c:v>
                </c:pt>
                <c:pt idx="1">
                  <c:v>8.6655074983699204E-2</c:v>
                </c:pt>
                <c:pt idx="2">
                  <c:v>8.7713283854310556E-2</c:v>
                </c:pt>
                <c:pt idx="3">
                  <c:v>9.3288790487656092E-2</c:v>
                </c:pt>
                <c:pt idx="4">
                  <c:v>8.9505298263127378E-2</c:v>
                </c:pt>
                <c:pt idx="5">
                  <c:v>-0.23065531677149018</c:v>
                </c:pt>
                <c:pt idx="6">
                  <c:v>-1.1259293414268904E-2</c:v>
                </c:pt>
                <c:pt idx="7">
                  <c:v>4.7858709250049168E-2</c:v>
                </c:pt>
                <c:pt idx="8">
                  <c:v>0.242546250900781</c:v>
                </c:pt>
                <c:pt idx="9">
                  <c:v>0.17948299237337603</c:v>
                </c:pt>
                <c:pt idx="10">
                  <c:v>-0.11450249477402256</c:v>
                </c:pt>
                <c:pt idx="11">
                  <c:v>0.10527155667867533</c:v>
                </c:pt>
                <c:pt idx="12">
                  <c:v>4.8516763335373997E-2</c:v>
                </c:pt>
                <c:pt idx="13">
                  <c:v>-0.10735329570820652</c:v>
                </c:pt>
                <c:pt idx="14">
                  <c:v>-0.13098034634885683</c:v>
                </c:pt>
                <c:pt idx="15">
                  <c:v>-1.3129787369272139E-2</c:v>
                </c:pt>
                <c:pt idx="16">
                  <c:v>-2.6136838278073241E-2</c:v>
                </c:pt>
                <c:pt idx="17">
                  <c:v>5.9417023531620081E-2</c:v>
                </c:pt>
                <c:pt idx="18">
                  <c:v>8.557361618798956E-2</c:v>
                </c:pt>
                <c:pt idx="19">
                  <c:v>0.12815135654261706</c:v>
                </c:pt>
                <c:pt idx="20">
                  <c:v>0.14935064935064934</c:v>
                </c:pt>
                <c:pt idx="21">
                  <c:v>0.10195674562306901</c:v>
                </c:pt>
                <c:pt idx="22">
                  <c:v>-0.26432291666666669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Altri!$C$37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Altri!$D$3:$U$3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22*</c:v>
                </c:pt>
              </c:strCache>
            </c:strRef>
          </c:cat>
          <c:val>
            <c:numRef>
              <c:f>Altri!$D$37:$U$37</c:f>
              <c:numCache>
                <c:formatCode>0.0</c:formatCode>
                <c:ptCount val="18"/>
                <c:pt idx="0">
                  <c:v>1.8692524621365414</c:v>
                </c:pt>
                <c:pt idx="1">
                  <c:v>4.1143390502858477</c:v>
                </c:pt>
                <c:pt idx="2">
                  <c:v>3.9322033898305087</c:v>
                </c:pt>
                <c:pt idx="3">
                  <c:v>2.5122898361534047</c:v>
                </c:pt>
                <c:pt idx="4">
                  <c:v>7.1436231502979304</c:v>
                </c:pt>
                <c:pt idx="5">
                  <c:v>3.0305966050190682</c:v>
                </c:pt>
                <c:pt idx="6">
                  <c:v>1.7497859050351687</c:v>
                </c:pt>
                <c:pt idx="7">
                  <c:v>1.7742721704967452</c:v>
                </c:pt>
                <c:pt idx="8">
                  <c:v>1.9013679526474756</c:v>
                </c:pt>
                <c:pt idx="9">
                  <c:v>1.8695555519777374</c:v>
                </c:pt>
                <c:pt idx="10">
                  <c:v>3.0354317087218803</c:v>
                </c:pt>
                <c:pt idx="11">
                  <c:v>2.3041460251871979</c:v>
                </c:pt>
                <c:pt idx="12">
                  <c:v>2.6878119450595008</c:v>
                </c:pt>
                <c:pt idx="13">
                  <c:v>2.2803029141104294</c:v>
                </c:pt>
                <c:pt idx="14">
                  <c:v>2.4990781115879823</c:v>
                </c:pt>
                <c:pt idx="15">
                  <c:v>2.3762883449359982</c:v>
                </c:pt>
                <c:pt idx="16">
                  <c:v>2.2684578748669426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Altri!$C$41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Altri!$D$41:$U$41</c:f>
              <c:numCache>
                <c:formatCode>0.0</c:formatCode>
                <c:ptCount val="18"/>
                <c:pt idx="0">
                  <c:v>1.0118917095386692</c:v>
                </c:pt>
                <c:pt idx="1">
                  <c:v>0.97072876337098191</c:v>
                </c:pt>
                <c:pt idx="2">
                  <c:v>0.97293580248448075</c:v>
                </c:pt>
                <c:pt idx="3">
                  <c:v>0.76814362703574612</c:v>
                </c:pt>
                <c:pt idx="4">
                  <c:v>0.79221840513519026</c:v>
                </c:pt>
                <c:pt idx="5">
                  <c:v>0.80364938980583711</c:v>
                </c:pt>
                <c:pt idx="6">
                  <c:v>0.64287255670855148</c:v>
                </c:pt>
                <c:pt idx="7">
                  <c:v>0.8526115164105974</c:v>
                </c:pt>
                <c:pt idx="8">
                  <c:v>1.0026868394709569</c:v>
                </c:pt>
                <c:pt idx="9">
                  <c:v>0.82001326948906594</c:v>
                </c:pt>
                <c:pt idx="10">
                  <c:v>1.69302753097145</c:v>
                </c:pt>
                <c:pt idx="11">
                  <c:v>1.637852836219047</c:v>
                </c:pt>
                <c:pt idx="12">
                  <c:v>1.4006034839783317</c:v>
                </c:pt>
                <c:pt idx="13">
                  <c:v>1.3647058823529412</c:v>
                </c:pt>
                <c:pt idx="14">
                  <c:v>1.4484517304189437</c:v>
                </c:pt>
                <c:pt idx="15">
                  <c:v>1.3342399516470234</c:v>
                </c:pt>
                <c:pt idx="16">
                  <c:v>1.376930501930502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Altri!$C$45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Altri!$D$45:$U$45</c:f>
              <c:numCache>
                <c:formatCode>0.00</c:formatCode>
                <c:ptCount val="18"/>
                <c:pt idx="0">
                  <c:v>3.075841921966965</c:v>
                </c:pt>
                <c:pt idx="1">
                  <c:v>8.0261346400653366</c:v>
                </c:pt>
                <c:pt idx="2">
                  <c:v>7.9478161016949151</c:v>
                </c:pt>
                <c:pt idx="3">
                  <c:v>11.945514229258864</c:v>
                </c:pt>
                <c:pt idx="4">
                  <c:v>18.47876718403317</c:v>
                </c:pt>
                <c:pt idx="5">
                  <c:v>9.3464965661785495</c:v>
                </c:pt>
                <c:pt idx="6">
                  <c:v>7.0167835266572336</c:v>
                </c:pt>
                <c:pt idx="7">
                  <c:v>5.1384089965445146</c:v>
                </c:pt>
                <c:pt idx="8">
                  <c:v>4.0534382435158323</c:v>
                </c:pt>
                <c:pt idx="9">
                  <c:v>3.5536896413583365</c:v>
                </c:pt>
                <c:pt idx="10">
                  <c:v>2.7079297962639122</c:v>
                </c:pt>
                <c:pt idx="11">
                  <c:v>2.7395481723670509</c:v>
                </c:pt>
                <c:pt idx="12">
                  <c:v>2.0668765074559845</c:v>
                </c:pt>
                <c:pt idx="13">
                  <c:v>1.8608128834355828</c:v>
                </c:pt>
                <c:pt idx="14">
                  <c:v>2.1811158798283263</c:v>
                </c:pt>
                <c:pt idx="15">
                  <c:v>2.3370761284527286</c:v>
                </c:pt>
                <c:pt idx="16">
                  <c:v>3.0226690321308891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'Estoril Sol'!$C$37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'Estoril Sol'!$H$3:$AE$3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'Estoril Sol'!$H$37:$AE$37</c:f>
              <c:numCache>
                <c:formatCode>0.0</c:formatCode>
                <c:ptCount val="24"/>
                <c:pt idx="0">
                  <c:v>3.1093194682111363</c:v>
                </c:pt>
                <c:pt idx="1">
                  <c:v>1.4082916757226691</c:v>
                </c:pt>
                <c:pt idx="2">
                  <c:v>1.5918848843364568</c:v>
                </c:pt>
                <c:pt idx="3">
                  <c:v>1.1983350603394445</c:v>
                </c:pt>
                <c:pt idx="4">
                  <c:v>0.99926487764827743</c:v>
                </c:pt>
                <c:pt idx="5">
                  <c:v>1.1847317757893365</c:v>
                </c:pt>
                <c:pt idx="6">
                  <c:v>1.6288715176734632</c:v>
                </c:pt>
                <c:pt idx="7">
                  <c:v>1.3855896364115139</c:v>
                </c:pt>
                <c:pt idx="8">
                  <c:v>1.1969594643139396</c:v>
                </c:pt>
                <c:pt idx="9">
                  <c:v>1.2888833525814782</c:v>
                </c:pt>
                <c:pt idx="10">
                  <c:v>1.339331779851713</c:v>
                </c:pt>
                <c:pt idx="11">
                  <c:v>1.0051902207634515</c:v>
                </c:pt>
                <c:pt idx="12">
                  <c:v>0.81982310136771186</c:v>
                </c:pt>
                <c:pt idx="13">
                  <c:v>0.36593132111762883</c:v>
                </c:pt>
                <c:pt idx="14">
                  <c:v>0.20293878329665285</c:v>
                </c:pt>
                <c:pt idx="15">
                  <c:v>0.21087520653365815</c:v>
                </c:pt>
                <c:pt idx="16">
                  <c:v>0.17734326244856446</c:v>
                </c:pt>
                <c:pt idx="17">
                  <c:v>0.15671075468229134</c:v>
                </c:pt>
                <c:pt idx="18">
                  <c:v>0.38472407219321153</c:v>
                </c:pt>
                <c:pt idx="19">
                  <c:v>1.4844523654261705</c:v>
                </c:pt>
                <c:pt idx="20">
                  <c:v>1.2395967792207792</c:v>
                </c:pt>
                <c:pt idx="21">
                  <c:v>1.0989804325437695</c:v>
                </c:pt>
                <c:pt idx="22">
                  <c:v>0.7767655598958334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'Estoril Sol'!$C$41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'Estoril Sol'!$H$41:$AE$41</c:f>
              <c:numCache>
                <c:formatCode>0.0</c:formatCode>
                <c:ptCount val="24"/>
                <c:pt idx="0">
                  <c:v>0.3928368391131325</c:v>
                </c:pt>
                <c:pt idx="1">
                  <c:v>0.70745960811275355</c:v>
                </c:pt>
                <c:pt idx="2">
                  <c:v>0.90324385094366766</c:v>
                </c:pt>
                <c:pt idx="3">
                  <c:v>0.28203706457970323</c:v>
                </c:pt>
                <c:pt idx="4">
                  <c:v>0.28993196185979836</c:v>
                </c:pt>
                <c:pt idx="5">
                  <c:v>0.44892188283250856</c:v>
                </c:pt>
                <c:pt idx="6">
                  <c:v>0.50209096249198815</c:v>
                </c:pt>
                <c:pt idx="7">
                  <c:v>0.49133036506556588</c:v>
                </c:pt>
                <c:pt idx="8">
                  <c:v>0.51910514464274127</c:v>
                </c:pt>
                <c:pt idx="9">
                  <c:v>0.16870468334742789</c:v>
                </c:pt>
                <c:pt idx="10">
                  <c:v>9.3952635993021713E-2</c:v>
                </c:pt>
                <c:pt idx="11">
                  <c:v>7.9126259870337695E-2</c:v>
                </c:pt>
                <c:pt idx="12">
                  <c:v>0.12119282522156206</c:v>
                </c:pt>
                <c:pt idx="13">
                  <c:v>0.12914759105820192</c:v>
                </c:pt>
                <c:pt idx="14">
                  <c:v>0.1169983920117674</c:v>
                </c:pt>
                <c:pt idx="15">
                  <c:v>0.13886222398527875</c:v>
                </c:pt>
                <c:pt idx="16">
                  <c:v>0.17295779626346694</c:v>
                </c:pt>
                <c:pt idx="17">
                  <c:v>0.22047319579565863</c:v>
                </c:pt>
                <c:pt idx="18">
                  <c:v>0.32137169548292227</c:v>
                </c:pt>
                <c:pt idx="19">
                  <c:v>0.65738726920144341</c:v>
                </c:pt>
                <c:pt idx="20">
                  <c:v>1.1380530973451326</c:v>
                </c:pt>
                <c:pt idx="21">
                  <c:v>1.6696750902527075</c:v>
                </c:pt>
                <c:pt idx="22">
                  <c:v>1.9510086455331412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'Estoril Sol'!$C$45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'Estoril Sol'!$H$45:$AE$45</c:f>
              <c:numCache>
                <c:formatCode>0.0</c:formatCode>
                <c:ptCount val="24"/>
                <c:pt idx="0">
                  <c:v>1.2042911675661445</c:v>
                </c:pt>
                <c:pt idx="1">
                  <c:v>0.99782655944359921</c:v>
                </c:pt>
                <c:pt idx="2">
                  <c:v>0.9472623751369339</c:v>
                </c:pt>
                <c:pt idx="3">
                  <c:v>2.4656669364591166</c:v>
                </c:pt>
                <c:pt idx="4">
                  <c:v>2.3007339698493472</c:v>
                </c:pt>
                <c:pt idx="5">
                  <c:v>3.0590230755136054</c:v>
                </c:pt>
                <c:pt idx="6">
                  <c:v>4.6376716345872833</c:v>
                </c:pt>
                <c:pt idx="7">
                  <c:v>4.6305511720075101</c:v>
                </c:pt>
                <c:pt idx="8">
                  <c:v>4.3257834521806879</c:v>
                </c:pt>
                <c:pt idx="9">
                  <c:v>2.9269881871470647</c:v>
                </c:pt>
                <c:pt idx="10">
                  <c:v>3.398720656778019</c:v>
                </c:pt>
                <c:pt idx="11">
                  <c:v>2.6819723136491076</c:v>
                </c:pt>
                <c:pt idx="12">
                  <c:v>2.1390938715999099</c:v>
                </c:pt>
                <c:pt idx="13">
                  <c:v>2.3121926747660897</c:v>
                </c:pt>
                <c:pt idx="14">
                  <c:v>2.3702210197645437</c:v>
                </c:pt>
                <c:pt idx="15">
                  <c:v>2.0961898689643914</c:v>
                </c:pt>
                <c:pt idx="16">
                  <c:v>1.87881664159309</c:v>
                </c:pt>
                <c:pt idx="17">
                  <c:v>1.4716597089187295</c:v>
                </c:pt>
                <c:pt idx="18">
                  <c:v>1.1044386422976502</c:v>
                </c:pt>
                <c:pt idx="19">
                  <c:v>0.80192076830732295</c:v>
                </c:pt>
                <c:pt idx="20">
                  <c:v>0.77380952380952372</c:v>
                </c:pt>
                <c:pt idx="21">
                  <c:v>0.75592173017507736</c:v>
                </c:pt>
                <c:pt idx="22">
                  <c:v>0.66145833333333337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Farminveste!$C$26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Farminveste!$D$26:$J$26</c:f>
              <c:numCache>
                <c:formatCode>#,##0</c:formatCode>
                <c:ptCount val="7"/>
                <c:pt idx="0">
                  <c:v>101</c:v>
                </c:pt>
                <c:pt idx="1">
                  <c:v>101</c:v>
                </c:pt>
                <c:pt idx="2">
                  <c:v>101</c:v>
                </c:pt>
                <c:pt idx="3">
                  <c:v>90</c:v>
                </c:pt>
                <c:pt idx="4">
                  <c:v>98</c:v>
                </c:pt>
                <c:pt idx="5">
                  <c:v>80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Farminveste!$C$5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8.9345614035087742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3-4D61-9E7A-1AEB361EB3C6}"/>
                </c:ext>
              </c:extLst>
            </c:dLbl>
            <c:dLbl>
              <c:idx val="3"/>
              <c:layout>
                <c:manualLayout>
                  <c:x val="3.713450292397661E-2"/>
                  <c:y val="-1.2935035758548312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3-4D61-9E7A-1AEB361EB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Farminveste!$D$3:$J$3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Farminveste!$D$5:$J$5</c:f>
              <c:numCache>
                <c:formatCode>#,##0</c:formatCode>
                <c:ptCount val="7"/>
                <c:pt idx="0" formatCode="General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Farminveste!$C$6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Farminveste!$D$3:$J$3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Farminveste!$D$6:$J$6</c:f>
              <c:numCache>
                <c:formatCode>#,##0</c:formatCode>
                <c:ptCount val="7"/>
                <c:pt idx="0">
                  <c:v>691.46242400000006</c:v>
                </c:pt>
                <c:pt idx="1">
                  <c:v>700.63669000000004</c:v>
                </c:pt>
                <c:pt idx="2">
                  <c:v>702.70901600000002</c:v>
                </c:pt>
                <c:pt idx="3">
                  <c:v>705.1</c:v>
                </c:pt>
                <c:pt idx="4">
                  <c:v>765.7</c:v>
                </c:pt>
                <c:pt idx="5">
                  <c:v>766.7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Farminveste!$C$27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Farminveste!$D$27:$J$27</c:f>
              <c:numCache>
                <c:formatCode>0.0</c:formatCode>
                <c:ptCount val="7"/>
                <c:pt idx="0">
                  <c:v>0.1460672286654871</c:v>
                </c:pt>
                <c:pt idx="1">
                  <c:v>0.14415459744193526</c:v>
                </c:pt>
                <c:pt idx="2">
                  <c:v>0.14372947792091514</c:v>
                </c:pt>
                <c:pt idx="3">
                  <c:v>0.12764146929513545</c:v>
                </c:pt>
                <c:pt idx="4">
                  <c:v>0.12798746245265769</c:v>
                </c:pt>
                <c:pt idx="5">
                  <c:v>0.10434328942219903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Farminveste!$C$7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Farminveste!$D$3:$J$3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Farminveste!$D$7:$J$7</c:f>
              <c:numCache>
                <c:formatCode>#,##0</c:formatCode>
                <c:ptCount val="7"/>
                <c:pt idx="0">
                  <c:v>43.5</c:v>
                </c:pt>
                <c:pt idx="1">
                  <c:v>35.1</c:v>
                </c:pt>
                <c:pt idx="2">
                  <c:v>37.6</c:v>
                </c:pt>
                <c:pt idx="3">
                  <c:v>28.7</c:v>
                </c:pt>
                <c:pt idx="4">
                  <c:v>48.3</c:v>
                </c:pt>
                <c:pt idx="5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Farminveste!$C$28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Farminveste!$D$28:$J$28</c:f>
              <c:numCache>
                <c:formatCode>0.0</c:formatCode>
                <c:ptCount val="7"/>
                <c:pt idx="0">
                  <c:v>2.3218390804597702</c:v>
                </c:pt>
                <c:pt idx="1">
                  <c:v>2.8774928774928772</c:v>
                </c:pt>
                <c:pt idx="2">
                  <c:v>2.6861702127659575</c:v>
                </c:pt>
                <c:pt idx="3">
                  <c:v>3.1358885017421603</c:v>
                </c:pt>
                <c:pt idx="4">
                  <c:v>2.0289855072463769</c:v>
                </c:pt>
                <c:pt idx="5">
                  <c:v>5.3691275167785237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Farminveste!$C$32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FC-4F34-94BB-27DFC702187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C-4F34-94BB-27DFC7021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Farminveste!$D$3:$J$3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Farminveste!$D$32:$J$32</c:f>
              <c:numCache>
                <c:formatCode>0.0%</c:formatCode>
                <c:ptCount val="7"/>
                <c:pt idx="0">
                  <c:v>6.2910143039095923E-2</c:v>
                </c:pt>
                <c:pt idx="1">
                  <c:v>5.0097290794177504E-2</c:v>
                </c:pt>
                <c:pt idx="2">
                  <c:v>5.3507211582439693E-2</c:v>
                </c:pt>
                <c:pt idx="3">
                  <c:v>4.0703446319670968E-2</c:v>
                </c:pt>
                <c:pt idx="4">
                  <c:v>6.3079535065952722E-2</c:v>
                </c:pt>
                <c:pt idx="5">
                  <c:v>1.9433937654884569E-2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Farminveste!$C$33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C-4F34-94BB-27DFC702187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C-4F34-94BB-27DFC7021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Farminveste!$D$3:$J$3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Farminveste!$D$33:$J$33</c:f>
              <c:numCache>
                <c:formatCode>0.0%</c:formatCode>
                <c:ptCount val="7"/>
                <c:pt idx="0">
                  <c:v>5.2759772236010902E-2</c:v>
                </c:pt>
                <c:pt idx="1">
                  <c:v>4.178613597869104E-2</c:v>
                </c:pt>
                <c:pt idx="2">
                  <c:v>4.3414628680386813E-2</c:v>
                </c:pt>
                <c:pt idx="3">
                  <c:v>2.8222947099702168E-2</c:v>
                </c:pt>
                <c:pt idx="4">
                  <c:v>4.3359017892124853E-2</c:v>
                </c:pt>
                <c:pt idx="5">
                  <c:v>-1.3042911177774878E-4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Farminveste!$C$35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C-4F34-94BB-27DFC702187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C-4F34-94BB-27DFC7021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Farminveste!$D$3:$J$3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Farminveste!$D$35:$J$35</c:f>
              <c:numCache>
                <c:formatCode>0.0%</c:formatCode>
                <c:ptCount val="7"/>
                <c:pt idx="0">
                  <c:v>4.9894251375834704E-2</c:v>
                </c:pt>
                <c:pt idx="1">
                  <c:v>9.5627307213957055E-3</c:v>
                </c:pt>
                <c:pt idx="2">
                  <c:v>1.6222931171271611E-2</c:v>
                </c:pt>
                <c:pt idx="3">
                  <c:v>3.9710679336264357E-3</c:v>
                </c:pt>
                <c:pt idx="4">
                  <c:v>1.6716729789734885E-2</c:v>
                </c:pt>
                <c:pt idx="5">
                  <c:v>-1.9825224990217813E-2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Farminveste!$C$12</c:f>
              <c:strCache>
                <c:ptCount val="1"/>
                <c:pt idx="0">
                  <c:v>Resultado Líquido s/ Extr.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Farminveste!$D$3:$K$3</c:f>
              <c:strCache>
                <c:ptCount val="8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  <c:pt idx="7">
                  <c:v>22*</c:v>
                </c:pt>
              </c:strCache>
            </c:strRef>
          </c:cat>
          <c:val>
            <c:numRef>
              <c:f>Farminveste!$D$12:$J$12</c:f>
              <c:numCache>
                <c:formatCode>0</c:formatCode>
                <c:ptCount val="7"/>
                <c:pt idx="0">
                  <c:v>34.5</c:v>
                </c:pt>
                <c:pt idx="1">
                  <c:v>6.7</c:v>
                </c:pt>
                <c:pt idx="2" formatCode="#,##0">
                  <c:v>11.4</c:v>
                </c:pt>
                <c:pt idx="3" formatCode="#,##0">
                  <c:v>2.8</c:v>
                </c:pt>
                <c:pt idx="4" formatCode="#,##0">
                  <c:v>12.8</c:v>
                </c:pt>
                <c:pt idx="5" formatCode="#,##0">
                  <c:v>-15.2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Farminveste!$C$36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5C-4F7C-A755-BA116B6126BC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Farminveste!$D$36:$J$36</c:f>
              <c:numCache>
                <c:formatCode>0.0</c:formatCode>
                <c:ptCount val="7"/>
                <c:pt idx="0">
                  <c:v>2.9275362318840581</c:v>
                </c:pt>
                <c:pt idx="1">
                  <c:v>15.074626865671641</c:v>
                </c:pt>
                <c:pt idx="2">
                  <c:v>8.8596491228070171</c:v>
                </c:pt>
                <c:pt idx="3">
                  <c:v>32.142857142857146</c:v>
                </c:pt>
                <c:pt idx="4">
                  <c:v>7.65625</c:v>
                </c:pt>
                <c:pt idx="5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Farminveste!$C$38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BD-4683-B843-A64DF36489C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BD-4683-B843-A64DF3648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Farminveste!$D$3:$J$3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Farminveste!$D$38:$J$38</c:f>
              <c:numCache>
                <c:formatCode>0%</c:formatCode>
                <c:ptCount val="7"/>
                <c:pt idx="0">
                  <c:v>0.39240370010441755</c:v>
                </c:pt>
                <c:pt idx="1">
                  <c:v>0.29809999069662563</c:v>
                </c:pt>
                <c:pt idx="2">
                  <c:v>0.2729095578603829</c:v>
                </c:pt>
                <c:pt idx="3">
                  <c:v>0.16950596252129471</c:v>
                </c:pt>
                <c:pt idx="4">
                  <c:v>0.28135593220338984</c:v>
                </c:pt>
                <c:pt idx="5">
                  <c:v>-9.5510983763132768E-4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Farminveste!$C$39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D-4683-B843-A64DF36489C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D-4683-B843-A64DF3648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Farminveste!$D$3:$J$3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Farminveste!$D$39:$J$39</c:f>
              <c:numCache>
                <c:formatCode>0%</c:formatCode>
                <c:ptCount val="7"/>
                <c:pt idx="0">
                  <c:v>0.37109123152078605</c:v>
                </c:pt>
                <c:pt idx="1">
                  <c:v>6.8219993840447302E-2</c:v>
                </c:pt>
                <c:pt idx="2">
                  <c:v>0.10197928918717891</c:v>
                </c:pt>
                <c:pt idx="3">
                  <c:v>2.3850085178875637E-2</c:v>
                </c:pt>
                <c:pt idx="4">
                  <c:v>0.10847457627118645</c:v>
                </c:pt>
                <c:pt idx="5">
                  <c:v>-0.14517669531996177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Farminveste!$C$37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Farminveste!$D$3:$J$3</c:f>
              <c:strCach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21*</c:v>
                </c:pt>
              </c:strCache>
            </c:strRef>
          </c:cat>
          <c:val>
            <c:numRef>
              <c:f>Farminveste!$D$37:$J$37</c:f>
              <c:numCache>
                <c:formatCode>0.0</c:formatCode>
                <c:ptCount val="7"/>
                <c:pt idx="0">
                  <c:v>1.0863830256115765</c:v>
                </c:pt>
                <c:pt idx="1">
                  <c:v>1.0283909519231609</c:v>
                </c:pt>
                <c:pt idx="2">
                  <c:v>0.90350071999167281</c:v>
                </c:pt>
                <c:pt idx="3">
                  <c:v>0.76660988074957404</c:v>
                </c:pt>
                <c:pt idx="4">
                  <c:v>0.83050847457627119</c:v>
                </c:pt>
                <c:pt idx="5">
                  <c:v>0.76408787010506207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Farminveste!$C$41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Farminveste!$D$41:$J$41</c:f>
              <c:numCache>
                <c:formatCode>0.0</c:formatCode>
                <c:ptCount val="7"/>
                <c:pt idx="0">
                  <c:v>0.96682376260137126</c:v>
                </c:pt>
                <c:pt idx="1">
                  <c:v>0.8677249568767762</c:v>
                </c:pt>
                <c:pt idx="2">
                  <c:v>0.99296915939891617</c:v>
                </c:pt>
                <c:pt idx="3">
                  <c:v>0.97839506172839497</c:v>
                </c:pt>
                <c:pt idx="4">
                  <c:v>0.73556664290805418</c:v>
                </c:pt>
                <c:pt idx="5">
                  <c:v>0.76500545652964724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Farminveste!$C$45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Farminveste!$D$45:$J$45</c:f>
              <c:numCache>
                <c:formatCode>0.0</c:formatCode>
                <c:ptCount val="7"/>
                <c:pt idx="0">
                  <c:v>4.3466077292043375</c:v>
                </c:pt>
                <c:pt idx="1">
                  <c:v>4.1033817190597413</c:v>
                </c:pt>
                <c:pt idx="2">
                  <c:v>3.5853771145808166</c:v>
                </c:pt>
                <c:pt idx="3">
                  <c:v>3.5349233390119248</c:v>
                </c:pt>
                <c:pt idx="4">
                  <c:v>4.057627118644068</c:v>
                </c:pt>
                <c:pt idx="5">
                  <c:v>4.6733524355300862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'FC Porto SAD'!$C$26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'FC Porto SAD'!$G$26:$AB$26</c:f>
              <c:numCache>
                <c:formatCode>#,##0</c:formatCode>
                <c:ptCount val="22"/>
                <c:pt idx="0">
                  <c:v>19.149999999999999</c:v>
                </c:pt>
                <c:pt idx="1">
                  <c:v>12.75</c:v>
                </c:pt>
                <c:pt idx="2">
                  <c:v>49.65</c:v>
                </c:pt>
                <c:pt idx="3">
                  <c:v>48</c:v>
                </c:pt>
                <c:pt idx="4">
                  <c:v>38.1</c:v>
                </c:pt>
                <c:pt idx="5">
                  <c:v>39.6</c:v>
                </c:pt>
                <c:pt idx="6">
                  <c:v>37.949999999999996</c:v>
                </c:pt>
                <c:pt idx="7">
                  <c:v>30.15</c:v>
                </c:pt>
                <c:pt idx="8">
                  <c:v>21</c:v>
                </c:pt>
                <c:pt idx="9">
                  <c:v>19.8</c:v>
                </c:pt>
                <c:pt idx="10">
                  <c:v>13.5</c:v>
                </c:pt>
                <c:pt idx="11">
                  <c:v>7.1999999999999993</c:v>
                </c:pt>
                <c:pt idx="12">
                  <c:v>3.3</c:v>
                </c:pt>
                <c:pt idx="13">
                  <c:v>5.8500000000000005</c:v>
                </c:pt>
                <c:pt idx="14">
                  <c:v>12.824999999999999</c:v>
                </c:pt>
                <c:pt idx="15">
                  <c:v>15.749999999999998</c:v>
                </c:pt>
                <c:pt idx="16">
                  <c:v>15.524999999999999</c:v>
                </c:pt>
                <c:pt idx="17">
                  <c:v>14.850000000000001</c:v>
                </c:pt>
                <c:pt idx="18">
                  <c:v>15.749999999999998</c:v>
                </c:pt>
                <c:pt idx="19">
                  <c:v>14.625</c:v>
                </c:pt>
                <c:pt idx="20">
                  <c:v>16.425000000000001</c:v>
                </c:pt>
                <c:pt idx="21">
                  <c:v>17.324999999999999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'FC Porto SAD'!$C$5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elete val="1"/>
          </c:dLbls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SAD'!$G$5:$AB$5</c:f>
              <c:numCache>
                <c:formatCode>#,##0</c:formatCode>
                <c:ptCount val="22"/>
                <c:pt idx="0">
                  <c:v>5</c:v>
                </c:pt>
                <c:pt idx="1">
                  <c:v>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 formatCode="#\ ##0.0">
                  <c:v>22.5</c:v>
                </c:pt>
                <c:pt idx="15" formatCode="#\ ##0.0">
                  <c:v>22.5</c:v>
                </c:pt>
                <c:pt idx="16" formatCode="#\ ##0.0">
                  <c:v>22.5</c:v>
                </c:pt>
                <c:pt idx="17" formatCode="#\ ##0.0">
                  <c:v>22.5</c:v>
                </c:pt>
                <c:pt idx="18" formatCode="#\ ##0.0">
                  <c:v>22.5</c:v>
                </c:pt>
                <c:pt idx="19" formatCode="#\ ##0.0">
                  <c:v>22.5</c:v>
                </c:pt>
                <c:pt idx="20" formatCode="#\ ##0.0">
                  <c:v>22.5</c:v>
                </c:pt>
                <c:pt idx="21" formatCode="#\ ##0.0">
                  <c:v>22.5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 Porto SAD'!$C$6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SAD'!$G$6:$AB$6</c:f>
              <c:numCache>
                <c:formatCode>#,##0</c:formatCode>
                <c:ptCount val="22"/>
                <c:pt idx="0">
                  <c:v>45.345264999999998</c:v>
                </c:pt>
                <c:pt idx="1">
                  <c:v>31.899546000000001</c:v>
                </c:pt>
                <c:pt idx="2">
                  <c:v>48.931092</c:v>
                </c:pt>
                <c:pt idx="3">
                  <c:v>53.587049999999998</c:v>
                </c:pt>
                <c:pt idx="4">
                  <c:v>46.275888000000002</c:v>
                </c:pt>
                <c:pt idx="5">
                  <c:v>46.198222999999999</c:v>
                </c:pt>
                <c:pt idx="6">
                  <c:v>46.198222999999999</c:v>
                </c:pt>
                <c:pt idx="7">
                  <c:v>54.942005999999999</c:v>
                </c:pt>
                <c:pt idx="8">
                  <c:v>68.143494000000004</c:v>
                </c:pt>
                <c:pt idx="9">
                  <c:v>57.612676999999998</c:v>
                </c:pt>
                <c:pt idx="10">
                  <c:v>57.612676999999998</c:v>
                </c:pt>
                <c:pt idx="11">
                  <c:v>89.814606999999995</c:v>
                </c:pt>
                <c:pt idx="12">
                  <c:v>72.184331999999998</c:v>
                </c:pt>
                <c:pt idx="13">
                  <c:v>78.441354999999987</c:v>
                </c:pt>
                <c:pt idx="14">
                  <c:v>72.612830000000002</c:v>
                </c:pt>
                <c:pt idx="15">
                  <c:v>93.6</c:v>
                </c:pt>
                <c:pt idx="16">
                  <c:v>75.8</c:v>
                </c:pt>
                <c:pt idx="17">
                  <c:v>99</c:v>
                </c:pt>
                <c:pt idx="18">
                  <c:v>105.8</c:v>
                </c:pt>
                <c:pt idx="19">
                  <c:v>176.3</c:v>
                </c:pt>
                <c:pt idx="20">
                  <c:v>87.3</c:v>
                </c:pt>
                <c:pt idx="21">
                  <c:v>153.6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'FC Porto SAD'!$C$27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'FC Porto SAD'!$G$27:$AB$27</c:f>
              <c:numCache>
                <c:formatCode>0.0</c:formatCode>
                <c:ptCount val="22"/>
                <c:pt idx="0">
                  <c:v>0.42231531781763759</c:v>
                </c:pt>
                <c:pt idx="1">
                  <c:v>0.39969220878566736</c:v>
                </c:pt>
                <c:pt idx="2">
                  <c:v>1.0146922533427212</c:v>
                </c:pt>
                <c:pt idx="3">
                  <c:v>0.89573880256517202</c:v>
                </c:pt>
                <c:pt idx="4">
                  <c:v>0.8233229365582353</c:v>
                </c:pt>
                <c:pt idx="5">
                  <c:v>0.85717582687108984</c:v>
                </c:pt>
                <c:pt idx="6">
                  <c:v>0.82146016741812766</c:v>
                </c:pt>
                <c:pt idx="7">
                  <c:v>0.54876045115644301</c:v>
                </c:pt>
                <c:pt idx="8">
                  <c:v>0.30817322046914702</c:v>
                </c:pt>
                <c:pt idx="9">
                  <c:v>0.34367436180755845</c:v>
                </c:pt>
                <c:pt idx="10">
                  <c:v>0.23432342850515347</c:v>
                </c:pt>
                <c:pt idx="11">
                  <c:v>8.0165133940852173E-2</c:v>
                </c:pt>
                <c:pt idx="12">
                  <c:v>4.5716292006414909E-2</c:v>
                </c:pt>
                <c:pt idx="13">
                  <c:v>7.4578007990810477E-2</c:v>
                </c:pt>
                <c:pt idx="14">
                  <c:v>0.17662167966735354</c:v>
                </c:pt>
                <c:pt idx="15">
                  <c:v>0.16826923076923075</c:v>
                </c:pt>
                <c:pt idx="16">
                  <c:v>0.20481530343007914</c:v>
                </c:pt>
                <c:pt idx="17">
                  <c:v>0.15000000000000002</c:v>
                </c:pt>
                <c:pt idx="18">
                  <c:v>0.1488657844990548</c:v>
                </c:pt>
                <c:pt idx="19">
                  <c:v>8.2955190017016442E-2</c:v>
                </c:pt>
                <c:pt idx="20">
                  <c:v>0.18814432989690724</c:v>
                </c:pt>
                <c:pt idx="21">
                  <c:v>0.11279296875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BCP!$C$26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5.5701754385965255E-3"/>
                  <c:y val="-4.2333333333333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2B-461C-B5DB-1EE98DF769AE}"/>
                </c:ext>
              </c:extLst>
            </c:dLbl>
            <c:dLbl>
              <c:idx val="9"/>
              <c:layout>
                <c:manualLayout>
                  <c:x val="3.3421052631578949E-2"/>
                  <c:y val="-1.411111111111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2B-461C-B5DB-1EE98DF769AE}"/>
                </c:ext>
              </c:extLst>
            </c:dLbl>
            <c:dLbl>
              <c:idx val="11"/>
              <c:layout>
                <c:manualLayout>
                  <c:x val="1.8567251461988305E-2"/>
                  <c:y val="-5.2916666666666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2B-461C-B5DB-1EE98DF769AE}"/>
                </c:ext>
              </c:extLst>
            </c:dLbl>
            <c:dLbl>
              <c:idx val="20"/>
              <c:layout>
                <c:manualLayout>
                  <c:x val="-9.2836257309941526E-3"/>
                  <c:y val="-5.291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2B-461C-B5DB-1EE98DF769AE}"/>
                </c:ext>
              </c:extLst>
            </c:dLbl>
            <c:dLbl>
              <c:idx val="21"/>
              <c:layout>
                <c:manualLayout>
                  <c:x val="0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B-461C-B5DB-1EE98DF769AE}"/>
                </c:ext>
              </c:extLst>
            </c:dLbl>
            <c:dLbl>
              <c:idx val="22"/>
              <c:layout>
                <c:manualLayout>
                  <c:x val="2.0423976608187136E-2"/>
                  <c:y val="-4.5861111111111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2B-461C-B5DB-1EE98DF76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BCP!$D$26:$AA$26</c:f>
              <c:numCache>
                <c:formatCode>#,##0</c:formatCode>
                <c:ptCount val="24"/>
                <c:pt idx="0">
                  <c:v>3626</c:v>
                </c:pt>
                <c:pt idx="1">
                  <c:v>19080</c:v>
                </c:pt>
                <c:pt idx="2">
                  <c:v>41106.563458440003</c:v>
                </c:pt>
                <c:pt idx="3">
                  <c:v>38320.994024189997</c:v>
                </c:pt>
                <c:pt idx="4">
                  <c:v>19195.397735250001</c:v>
                </c:pt>
                <c:pt idx="5">
                  <c:v>23355.564288090001</c:v>
                </c:pt>
                <c:pt idx="6">
                  <c:v>24951.690717820002</c:v>
                </c:pt>
                <c:pt idx="7">
                  <c:v>30749.864278879999</c:v>
                </c:pt>
                <c:pt idx="8">
                  <c:v>40988.590585450002</c:v>
                </c:pt>
                <c:pt idx="9">
                  <c:v>42758.142073280003</c:v>
                </c:pt>
                <c:pt idx="10">
                  <c:v>17229.182000000001</c:v>
                </c:pt>
                <c:pt idx="11">
                  <c:v>17886.426000000003</c:v>
                </c:pt>
                <c:pt idx="12">
                  <c:v>12299.852000000001</c:v>
                </c:pt>
                <c:pt idx="13">
                  <c:v>4756.7302596</c:v>
                </c:pt>
                <c:pt idx="14">
                  <c:v>11036.013553600002</c:v>
                </c:pt>
                <c:pt idx="15">
                  <c:v>24633.958825000002</c:v>
                </c:pt>
                <c:pt idx="16">
                  <c:v>2566.15</c:v>
                </c:pt>
                <c:pt idx="17">
                  <c:v>2295.09</c:v>
                </c:pt>
                <c:pt idx="18">
                  <c:v>1319.0734600000001</c:v>
                </c:pt>
                <c:pt idx="19">
                  <c:v>3621.4080000000004</c:v>
                </c:pt>
                <c:pt idx="20">
                  <c:v>3468.663</c:v>
                </c:pt>
                <c:pt idx="21">
                  <c:v>3065.1171622656002</c:v>
                </c:pt>
                <c:pt idx="22">
                  <c:v>1862.0435620864</c:v>
                </c:pt>
                <c:pt idx="23">
                  <c:v>2129.5611842367998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BCP!$C$5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elete val="1"/>
          </c:dLbls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BCP!$D$5:$AA$5</c:f>
              <c:numCache>
                <c:formatCode>#,##0</c:formatCode>
                <c:ptCount val="24"/>
                <c:pt idx="0">
                  <c:v>200</c:v>
                </c:pt>
                <c:pt idx="1">
                  <c:v>1000</c:v>
                </c:pt>
                <c:pt idx="2">
                  <c:v>2101.5625490000002</c:v>
                </c:pt>
                <c:pt idx="3">
                  <c:v>2326.7148769999999</c:v>
                </c:pt>
                <c:pt idx="4">
                  <c:v>2326.7148769999999</c:v>
                </c:pt>
                <c:pt idx="5">
                  <c:v>3257.400877</c:v>
                </c:pt>
                <c:pt idx="6">
                  <c:v>3257.400877</c:v>
                </c:pt>
                <c:pt idx="7">
                  <c:v>3257.400877</c:v>
                </c:pt>
                <c:pt idx="8">
                  <c:v>3611.3295670000002</c:v>
                </c:pt>
                <c:pt idx="9">
                  <c:v>3611.3295670000002</c:v>
                </c:pt>
                <c:pt idx="10">
                  <c:v>4694.6000000000004</c:v>
                </c:pt>
                <c:pt idx="11">
                  <c:v>4694.6000000000004</c:v>
                </c:pt>
                <c:pt idx="12">
                  <c:v>4694.6000000000004</c:v>
                </c:pt>
                <c:pt idx="13">
                  <c:v>7207.1670599999998</c:v>
                </c:pt>
                <c:pt idx="14">
                  <c:v>19707.16706</c:v>
                </c:pt>
                <c:pt idx="15">
                  <c:v>19707.16706</c:v>
                </c:pt>
                <c:pt idx="16">
                  <c:v>3019</c:v>
                </c:pt>
                <c:pt idx="17">
                  <c:v>3643</c:v>
                </c:pt>
                <c:pt idx="18">
                  <c:v>7151</c:v>
                </c:pt>
                <c:pt idx="19">
                  <c:v>13314</c:v>
                </c:pt>
                <c:pt idx="20">
                  <c:v>15114</c:v>
                </c:pt>
                <c:pt idx="21">
                  <c:v>15113.989952</c:v>
                </c:pt>
                <c:pt idx="22">
                  <c:v>15113.989952</c:v>
                </c:pt>
                <c:pt idx="23">
                  <c:v>15113.989952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 Porto SAD'!$C$7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SAD'!$G$7:$AB$7</c:f>
              <c:numCache>
                <c:formatCode>#,##0</c:formatCode>
                <c:ptCount val="22"/>
                <c:pt idx="0">
                  <c:v>9.7656399999999994</c:v>
                </c:pt>
                <c:pt idx="1">
                  <c:v>35.707660000000004</c:v>
                </c:pt>
                <c:pt idx="2">
                  <c:v>-0.86569000000000074</c:v>
                </c:pt>
                <c:pt idx="3">
                  <c:v>2.7648429999999991</c:v>
                </c:pt>
                <c:pt idx="4">
                  <c:v>2.3713199999999999</c:v>
                </c:pt>
                <c:pt idx="5">
                  <c:v>-25.060237000000001</c:v>
                </c:pt>
                <c:pt idx="6">
                  <c:v>-25.060237000000001</c:v>
                </c:pt>
                <c:pt idx="7">
                  <c:v>10.314354</c:v>
                </c:pt>
                <c:pt idx="8">
                  <c:v>12.134466000000002</c:v>
                </c:pt>
                <c:pt idx="9">
                  <c:v>3.7696890000000001</c:v>
                </c:pt>
                <c:pt idx="10">
                  <c:v>3.7696890000000001</c:v>
                </c:pt>
                <c:pt idx="11">
                  <c:v>7.9213209999999998</c:v>
                </c:pt>
                <c:pt idx="12">
                  <c:v>-25.589378</c:v>
                </c:pt>
                <c:pt idx="13">
                  <c:v>32.491304</c:v>
                </c:pt>
                <c:pt idx="14">
                  <c:v>-25.226959999999998</c:v>
                </c:pt>
                <c:pt idx="15">
                  <c:v>67.400000000000006</c:v>
                </c:pt>
                <c:pt idx="16">
                  <c:v>-8</c:v>
                </c:pt>
                <c:pt idx="17">
                  <c:v>22.2</c:v>
                </c:pt>
                <c:pt idx="18">
                  <c:v>26.7</c:v>
                </c:pt>
                <c:pt idx="19">
                  <c:v>72.8</c:v>
                </c:pt>
                <c:pt idx="20">
                  <c:v>-52.7</c:v>
                </c:pt>
                <c:pt idx="21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'FC Porto SAD'!$C$28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'FC Porto SAD'!$G$28:$AB$28</c:f>
              <c:numCache>
                <c:formatCode>0.0</c:formatCode>
                <c:ptCount val="22"/>
                <c:pt idx="0">
                  <c:v>1.9609569879700663</c:v>
                </c:pt>
                <c:pt idx="1">
                  <c:v>0.35706624292938821</c:v>
                </c:pt>
                <c:pt idx="2">
                  <c:v>-57.353094063694805</c:v>
                </c:pt>
                <c:pt idx="3">
                  <c:v>17.36084110381675</c:v>
                </c:pt>
                <c:pt idx="4">
                  <c:v>16.067000657861445</c:v>
                </c:pt>
                <c:pt idx="5">
                  <c:v>-1.5801925576362266</c:v>
                </c:pt>
                <c:pt idx="6">
                  <c:v>-1.5143512010680504</c:v>
                </c:pt>
                <c:pt idx="7">
                  <c:v>2.9231108414545397</c:v>
                </c:pt>
                <c:pt idx="8">
                  <c:v>1.7306076756900548</c:v>
                </c:pt>
                <c:pt idx="9">
                  <c:v>5.252422679961132</c:v>
                </c:pt>
                <c:pt idx="10">
                  <c:v>3.5811972817916811</c:v>
                </c:pt>
                <c:pt idx="11">
                  <c:v>0.90893930444177173</c:v>
                </c:pt>
                <c:pt idx="12">
                  <c:v>-0.12895975822468211</c:v>
                </c:pt>
                <c:pt idx="13">
                  <c:v>0.1800481753517803</c:v>
                </c:pt>
                <c:pt idx="14">
                  <c:v>-0.50838468051639996</c:v>
                </c:pt>
                <c:pt idx="15">
                  <c:v>0.23367952522255189</c:v>
                </c:pt>
                <c:pt idx="16">
                  <c:v>-1.9406249999999998</c:v>
                </c:pt>
                <c:pt idx="17">
                  <c:v>0.66891891891891897</c:v>
                </c:pt>
                <c:pt idx="18">
                  <c:v>0.5898876404494382</c:v>
                </c:pt>
                <c:pt idx="19">
                  <c:v>0.20089285714285715</c:v>
                </c:pt>
                <c:pt idx="20">
                  <c:v>-0.31166982922201136</c:v>
                </c:pt>
                <c:pt idx="21">
                  <c:v>0.18649085037674917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'FC Porto SAD'!$C$32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B9-4D3C-AA29-A21A8B15A15A}"/>
                </c:ext>
              </c:extLst>
            </c:dLbl>
            <c:dLbl>
              <c:idx val="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6-4035-8099-7AAA17E8F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SAD'!$G$32:$AB$32</c:f>
              <c:numCache>
                <c:formatCode>0.0%</c:formatCode>
                <c:ptCount val="22"/>
                <c:pt idx="0">
                  <c:v>0.21536184649047702</c:v>
                </c:pt>
                <c:pt idx="1">
                  <c:v>1.1193783134092254</c:v>
                </c:pt>
                <c:pt idx="2">
                  <c:v>-1.7692022896198614E-2</c:v>
                </c:pt>
                <c:pt idx="3">
                  <c:v>5.1595357460431188E-2</c:v>
                </c:pt>
                <c:pt idx="4">
                  <c:v>5.1243100942763103E-2</c:v>
                </c:pt>
                <c:pt idx="5">
                  <c:v>-0.54245023666819392</c:v>
                </c:pt>
                <c:pt idx="6">
                  <c:v>-0.54245023666819392</c:v>
                </c:pt>
                <c:pt idx="7">
                  <c:v>0.18773166018000872</c:v>
                </c:pt>
                <c:pt idx="8">
                  <c:v>0.17807226028063664</c:v>
                </c:pt>
                <c:pt idx="9">
                  <c:v>6.5431588953938039E-2</c:v>
                </c:pt>
                <c:pt idx="10">
                  <c:v>6.5431588953938039E-2</c:v>
                </c:pt>
                <c:pt idx="11">
                  <c:v>8.8196355410206276E-2</c:v>
                </c:pt>
                <c:pt idx="12">
                  <c:v>-0.35450044754864535</c:v>
                </c:pt>
                <c:pt idx="13">
                  <c:v>0.41421140672544482</c:v>
                </c:pt>
                <c:pt idx="14">
                  <c:v>-0.34741739166480629</c:v>
                </c:pt>
                <c:pt idx="15">
                  <c:v>0.72008547008547019</c:v>
                </c:pt>
                <c:pt idx="16">
                  <c:v>-0.10554089709762533</c:v>
                </c:pt>
                <c:pt idx="17">
                  <c:v>0.22424242424242424</c:v>
                </c:pt>
                <c:pt idx="18">
                  <c:v>0.25236294896030248</c:v>
                </c:pt>
                <c:pt idx="19">
                  <c:v>0.41293250141803739</c:v>
                </c:pt>
                <c:pt idx="20">
                  <c:v>-0.60366552119129446</c:v>
                </c:pt>
                <c:pt idx="21">
                  <c:v>0.60481770833333337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'FC Porto SAD'!$C$33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F6-4035-8099-7AAA17E8F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SAD'!$G$33:$AB$33</c:f>
              <c:numCache>
                <c:formatCode>0.0%</c:formatCode>
                <c:ptCount val="22"/>
                <c:pt idx="0">
                  <c:v>2.4204401495944508E-2</c:v>
                </c:pt>
                <c:pt idx="1">
                  <c:v>0.63426263182554388</c:v>
                </c:pt>
                <c:pt idx="2">
                  <c:v>-0.37906652481820757</c:v>
                </c:pt>
                <c:pt idx="3">
                  <c:v>-0.30627129129145947</c:v>
                </c:pt>
                <c:pt idx="4">
                  <c:v>3.448547545970377E-2</c:v>
                </c:pt>
                <c:pt idx="5">
                  <c:v>-0.56037754958670161</c:v>
                </c:pt>
                <c:pt idx="6">
                  <c:v>-0.56037754958670161</c:v>
                </c:pt>
                <c:pt idx="7">
                  <c:v>0.17143562249984101</c:v>
                </c:pt>
                <c:pt idx="8">
                  <c:v>0.16391338841533426</c:v>
                </c:pt>
                <c:pt idx="9">
                  <c:v>4.9530487882033326E-2</c:v>
                </c:pt>
                <c:pt idx="10">
                  <c:v>4.9530487882033326E-2</c:v>
                </c:pt>
                <c:pt idx="11">
                  <c:v>7.7679959118453865E-2</c:v>
                </c:pt>
                <c:pt idx="12">
                  <c:v>-0.36630257934644322</c:v>
                </c:pt>
                <c:pt idx="13">
                  <c:v>0.40507733452590161</c:v>
                </c:pt>
                <c:pt idx="14">
                  <c:v>-0.35512042431068996</c:v>
                </c:pt>
                <c:pt idx="15">
                  <c:v>0.36752136752136755</c:v>
                </c:pt>
                <c:pt idx="16">
                  <c:v>-0.54765701846965709</c:v>
                </c:pt>
                <c:pt idx="17">
                  <c:v>-0.18555983838383838</c:v>
                </c:pt>
                <c:pt idx="18">
                  <c:v>-0.12620982986767487</c:v>
                </c:pt>
                <c:pt idx="19">
                  <c:v>0.1803743618831537</c:v>
                </c:pt>
                <c:pt idx="20">
                  <c:v>-1.1008018327605955</c:v>
                </c:pt>
                <c:pt idx="21">
                  <c:v>0.36914062500000006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'FC Porto SAD'!$C$35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B9-4D3C-AA29-A21A8B15A15A}"/>
                </c:ext>
              </c:extLst>
            </c:dLbl>
            <c:dLbl>
              <c:idx val="1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F6-4035-8099-7AAA17E8F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SAD'!$G$35:$AB$35</c:f>
              <c:numCache>
                <c:formatCode>0.0%</c:formatCode>
                <c:ptCount val="22"/>
                <c:pt idx="0">
                  <c:v>1.5752692149885991E-2</c:v>
                </c:pt>
                <c:pt idx="1">
                  <c:v>-0.73986385260780818</c:v>
                </c:pt>
                <c:pt idx="2">
                  <c:v>-0.32815071856561057</c:v>
                </c:pt>
                <c:pt idx="3">
                  <c:v>-0.33687389024027264</c:v>
                </c:pt>
                <c:pt idx="4">
                  <c:v>-2.4617485460246599E-2</c:v>
                </c:pt>
                <c:pt idx="5">
                  <c:v>-0.66067372331615437</c:v>
                </c:pt>
                <c:pt idx="6">
                  <c:v>-0.66067372331615437</c:v>
                </c:pt>
                <c:pt idx="7">
                  <c:v>4.1077186005913216E-2</c:v>
                </c:pt>
                <c:pt idx="8">
                  <c:v>7.5536088595633211E-2</c:v>
                </c:pt>
                <c:pt idx="9">
                  <c:v>1.3413367339275E-3</c:v>
                </c:pt>
                <c:pt idx="10">
                  <c:v>1.3413367339275E-3</c:v>
                </c:pt>
                <c:pt idx="11">
                  <c:v>5.247509461350758E-3</c:v>
                </c:pt>
                <c:pt idx="12">
                  <c:v>-0.49768474687831149</c:v>
                </c:pt>
                <c:pt idx="13">
                  <c:v>0.25917317466022871</c:v>
                </c:pt>
                <c:pt idx="14">
                  <c:v>-0.56061605091001132</c:v>
                </c:pt>
                <c:pt idx="15">
                  <c:v>0.20726495726495725</c:v>
                </c:pt>
                <c:pt idx="16">
                  <c:v>-0.77044854881266489</c:v>
                </c:pt>
                <c:pt idx="17">
                  <c:v>-0.35656565656565653</c:v>
                </c:pt>
                <c:pt idx="18">
                  <c:v>-0.26843100189035918</c:v>
                </c:pt>
                <c:pt idx="19">
                  <c:v>5.3885422575155981E-2</c:v>
                </c:pt>
                <c:pt idx="20">
                  <c:v>-1.327605956471936</c:v>
                </c:pt>
                <c:pt idx="21">
                  <c:v>0.21744791666666666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'FC Porto SAD'!$C$12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SAD'!$G$12:$AB$12</c:f>
              <c:numCache>
                <c:formatCode>#,##0</c:formatCode>
                <c:ptCount val="22"/>
                <c:pt idx="0">
                  <c:v>0.71431</c:v>
                </c:pt>
                <c:pt idx="1">
                  <c:v>-23.601320999999999</c:v>
                </c:pt>
                <c:pt idx="2">
                  <c:v>-16.056773</c:v>
                </c:pt>
                <c:pt idx="3">
                  <c:v>-18.052078000000002</c:v>
                </c:pt>
                <c:pt idx="4">
                  <c:v>-1.1391960000000001</c:v>
                </c:pt>
                <c:pt idx="5">
                  <c:v>-30.521951999999999</c:v>
                </c:pt>
                <c:pt idx="6">
                  <c:v>-30.521951999999999</c:v>
                </c:pt>
                <c:pt idx="7">
                  <c:v>2.2568630000000001</c:v>
                </c:pt>
                <c:pt idx="8">
                  <c:v>5.1472930000000003</c:v>
                </c:pt>
                <c:pt idx="9">
                  <c:v>7.7277999999999999E-2</c:v>
                </c:pt>
                <c:pt idx="10">
                  <c:v>7.7277999999999999E-2</c:v>
                </c:pt>
                <c:pt idx="11">
                  <c:v>0.47130300000000003</c:v>
                </c:pt>
                <c:pt idx="12">
                  <c:v>-35.925041</c:v>
                </c:pt>
                <c:pt idx="13">
                  <c:v>20.329895</c:v>
                </c:pt>
                <c:pt idx="14">
                  <c:v>-40.707917999999999</c:v>
                </c:pt>
                <c:pt idx="15">
                  <c:v>19.399999999999999</c:v>
                </c:pt>
                <c:pt idx="16">
                  <c:v>-58.4</c:v>
                </c:pt>
                <c:pt idx="17">
                  <c:v>-35.299999999999997</c:v>
                </c:pt>
                <c:pt idx="18">
                  <c:v>-28.4</c:v>
                </c:pt>
                <c:pt idx="19">
                  <c:v>9.5</c:v>
                </c:pt>
                <c:pt idx="20">
                  <c:v>-115.9</c:v>
                </c:pt>
                <c:pt idx="21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'FC Porto SAD'!$C$36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1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7B-4F07-AFFF-B872D7CB211F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'FC Porto SAD'!$G$36:$AB$36</c:f>
              <c:numCache>
                <c:formatCode>0.0</c:formatCode>
                <c:ptCount val="22"/>
                <c:pt idx="0">
                  <c:v>26.809088490991304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13.359251314767445</c:v>
                </c:pt>
                <c:pt idx="8">
                  <c:v>4.0798143801023175</c:v>
                </c:pt>
                <c:pt idx="9">
                  <c:v>256.21781101995396</c:v>
                </c:pt>
                <c:pt idx="10">
                  <c:v>174.69396205905949</c:v>
                </c:pt>
                <c:pt idx="11">
                  <c:v>15.27679645578322</c:v>
                </c:pt>
                <c:pt idx="12">
                  <c:v>0</c:v>
                </c:pt>
                <c:pt idx="13">
                  <c:v>0.28775357669087814</c:v>
                </c:pt>
                <c:pt idx="14">
                  <c:v>0</c:v>
                </c:pt>
                <c:pt idx="15">
                  <c:v>0.81185567010309279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1.5394736842105263</c:v>
                </c:pt>
                <c:pt idx="20">
                  <c:v>0</c:v>
                </c:pt>
                <c:pt idx="21">
                  <c:v>0.51871257485029942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'FC Porto SAD'!$C$38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SAD'!$G$38:$AB$38</c:f>
              <c:numCache>
                <c:formatCode>0%</c:formatCode>
                <c:ptCount val="22"/>
                <c:pt idx="0">
                  <c:v>4.5217514183065521E-2</c:v>
                </c:pt>
                <c:pt idx="1">
                  <c:v>32.999559629436327</c:v>
                </c:pt>
                <c:pt idx="2">
                  <c:v>-0.53597507809694778</c:v>
                </c:pt>
                <c:pt idx="3">
                  <c:v>-1.0153639909937209</c:v>
                </c:pt>
                <c:pt idx="4">
                  <c:v>4.1016719601589501E-2</c:v>
                </c:pt>
                <c:pt idx="5">
                  <c:v>-0.68528375890710558</c:v>
                </c:pt>
                <c:pt idx="6">
                  <c:v>-3.5243820457835024</c:v>
                </c:pt>
                <c:pt idx="7">
                  <c:v>0.97461332940412115</c:v>
                </c:pt>
                <c:pt idx="8">
                  <c:v>0.49042282781612118</c:v>
                </c:pt>
                <c:pt idx="9">
                  <c:v>0.12499606866412112</c:v>
                </c:pt>
                <c:pt idx="10">
                  <c:v>0.12499606866412112</c:v>
                </c:pt>
                <c:pt idx="11">
                  <c:v>0.2995286353195466</c:v>
                </c:pt>
                <c:pt idx="12">
                  <c:v>2.0888851758499207</c:v>
                </c:pt>
                <c:pt idx="13">
                  <c:v>4.1659022033194999</c:v>
                </c:pt>
                <c:pt idx="14">
                  <c:v>0.77981171149539086</c:v>
                </c:pt>
                <c:pt idx="15">
                  <c:v>1.4156378600823045</c:v>
                </c:pt>
                <c:pt idx="16">
                  <c:v>1.2354881547619048</c:v>
                </c:pt>
                <c:pt idx="17">
                  <c:v>0.26701197674418603</c:v>
                </c:pt>
                <c:pt idx="18">
                  <c:v>0.13737654320987655</c:v>
                </c:pt>
                <c:pt idx="19">
                  <c:v>-0.34120171673819744</c:v>
                </c:pt>
                <c:pt idx="20">
                  <c:v>0.45958871353419417</c:v>
                </c:pt>
                <c:pt idx="21">
                  <c:v>-0.32270916334661359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'FC Porto SAD'!$C$39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CE-4DB0-A40D-102D5DCD3126}"/>
                </c:ext>
              </c:extLst>
            </c:dLbl>
            <c:dLbl>
              <c:idx val="1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3-4F47-8877-27C24759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SAD'!$G$39:$AB$39</c:f>
              <c:numCache>
                <c:formatCode>0%</c:formatCode>
                <c:ptCount val="22"/>
                <c:pt idx="0">
                  <c:v>2.9428431883691965E-2</c:v>
                </c:pt>
                <c:pt idx="1">
                  <c:v>-38.493803823068895</c:v>
                </c:pt>
                <c:pt idx="2">
                  <c:v>-0.46398348441641307</c:v>
                </c:pt>
                <c:pt idx="3">
                  <c:v>-1.1168190665655191</c:v>
                </c:pt>
                <c:pt idx="4">
                  <c:v>-2.9279819546029096E-2</c:v>
                </c:pt>
                <c:pt idx="5">
                  <c:v>-0.80793560138011555</c:v>
                </c:pt>
                <c:pt idx="6">
                  <c:v>-4.1551746858769034</c:v>
                </c:pt>
                <c:pt idx="7">
                  <c:v>0.2335242374484485</c:v>
                </c:pt>
                <c:pt idx="8">
                  <c:v>0.22600119812893782</c:v>
                </c:pt>
                <c:pt idx="9">
                  <c:v>3.3850225520699415E-3</c:v>
                </c:pt>
                <c:pt idx="10">
                  <c:v>3.3850225520699415E-3</c:v>
                </c:pt>
                <c:pt idx="11">
                  <c:v>2.0234039327801417E-2</c:v>
                </c:pt>
                <c:pt idx="12">
                  <c:v>2.8381080249437218</c:v>
                </c:pt>
                <c:pt idx="13">
                  <c:v>2.6653925246694303</c:v>
                </c:pt>
                <c:pt idx="14">
                  <c:v>1.2310611618594056</c:v>
                </c:pt>
                <c:pt idx="15">
                  <c:v>0.79835390946502049</c:v>
                </c:pt>
                <c:pt idx="16">
                  <c:v>1.7380952380952379</c:v>
                </c:pt>
                <c:pt idx="17">
                  <c:v>0.51308139534883723</c:v>
                </c:pt>
                <c:pt idx="18">
                  <c:v>0.29218106995884774</c:v>
                </c:pt>
                <c:pt idx="19">
                  <c:v>-0.101931330472103</c:v>
                </c:pt>
                <c:pt idx="20">
                  <c:v>0.55428024868483983</c:v>
                </c:pt>
                <c:pt idx="21">
                  <c:v>-0.19009675583380764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'FC Porto SAD'!$C$37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'FC Porto SAD'!$G$3:$AB$3</c:f>
              <c:strCache>
                <c:ptCount val="22"/>
                <c:pt idx="0">
                  <c:v>2000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21*</c:v>
                </c:pt>
              </c:strCache>
            </c:strRef>
          </c:cat>
          <c:val>
            <c:numRef>
              <c:f>'FC Porto SAD'!$G$37:$AB$37</c:f>
              <c:numCache>
                <c:formatCode>0.0</c:formatCode>
                <c:ptCount val="22"/>
                <c:pt idx="0">
                  <c:v>0.78894943452100774</c:v>
                </c:pt>
                <c:pt idx="1">
                  <c:v>20.79527661795407</c:v>
                </c:pt>
                <c:pt idx="2">
                  <c:v>1.43470795789882</c:v>
                </c:pt>
                <c:pt idx="3">
                  <c:v>2.9695924865350634</c:v>
                </c:pt>
                <c:pt idx="4">
                  <c:v>0.9792530211690601</c:v>
                </c:pt>
                <c:pt idx="5">
                  <c:v>1.0482373412635135</c:v>
                </c:pt>
                <c:pt idx="6">
                  <c:v>5.1664087319522842</c:v>
                </c:pt>
                <c:pt idx="7">
                  <c:v>3.1197089761632504</c:v>
                </c:pt>
                <c:pt idx="8">
                  <c:v>0.92204293804679349</c:v>
                </c:pt>
                <c:pt idx="9">
                  <c:v>0.86730306854453842</c:v>
                </c:pt>
                <c:pt idx="10">
                  <c:v>0.5913430012803671</c:v>
                </c:pt>
                <c:pt idx="11">
                  <c:v>0.30911130028913497</c:v>
                </c:pt>
                <c:pt idx="12">
                  <c:v>-0.2607027360752151</c:v>
                </c:pt>
                <c:pt idx="13">
                  <c:v>0.76697623225875822</c:v>
                </c:pt>
                <c:pt idx="14">
                  <c:v>-0.38784492493197209</c:v>
                </c:pt>
                <c:pt idx="15">
                  <c:v>0.64814814814814803</c:v>
                </c:pt>
                <c:pt idx="16">
                  <c:v>-0.46205357142857134</c:v>
                </c:pt>
                <c:pt idx="17">
                  <c:v>-0.21584302325581398</c:v>
                </c:pt>
                <c:pt idx="18">
                  <c:v>-0.16203703703703701</c:v>
                </c:pt>
                <c:pt idx="19">
                  <c:v>-0.15692060085836909</c:v>
                </c:pt>
                <c:pt idx="20">
                  <c:v>-7.8550932568149212E-2</c:v>
                </c:pt>
                <c:pt idx="21">
                  <c:v>-9.8605577689243024E-2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'FC Porto SAD'!$C$41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'FC Porto SAD'!$G$41:$AB$41</c:f>
              <c:numCache>
                <c:formatCode>0.0</c:formatCode>
                <c:ptCount val="22"/>
                <c:pt idx="0">
                  <c:v>0.83234477937970397</c:v>
                </c:pt>
                <c:pt idx="1">
                  <c:v>0.20015703041242178</c:v>
                </c:pt>
                <c:pt idx="2">
                  <c:v>0.24721721891979254</c:v>
                </c:pt>
                <c:pt idx="3">
                  <c:v>0.42858874924536705</c:v>
                </c:pt>
                <c:pt idx="4">
                  <c:v>1.0422477540311019</c:v>
                </c:pt>
                <c:pt idx="5">
                  <c:v>0.81227540012619526</c:v>
                </c:pt>
                <c:pt idx="6">
                  <c:v>0.60061411043912982</c:v>
                </c:pt>
                <c:pt idx="7">
                  <c:v>0.88643888569718987</c:v>
                </c:pt>
                <c:pt idx="8">
                  <c:v>0.62986881477122947</c:v>
                </c:pt>
                <c:pt idx="9">
                  <c:v>0.71733510057124861</c:v>
                </c:pt>
                <c:pt idx="10">
                  <c:v>0.71733510057124861</c:v>
                </c:pt>
                <c:pt idx="11">
                  <c:v>0.69984954320977744</c:v>
                </c:pt>
                <c:pt idx="12">
                  <c:v>0.33194386616032168</c:v>
                </c:pt>
                <c:pt idx="13">
                  <c:v>0.68785370602902984</c:v>
                </c:pt>
                <c:pt idx="14">
                  <c:v>0.53310037933451948</c:v>
                </c:pt>
                <c:pt idx="15">
                  <c:v>0.83570308292543416</c:v>
                </c:pt>
                <c:pt idx="16">
                  <c:v>0.56819917149823429</c:v>
                </c:pt>
                <c:pt idx="17">
                  <c:v>0.4039244242048457</c:v>
                </c:pt>
                <c:pt idx="18">
                  <c:v>0.77872549708424077</c:v>
                </c:pt>
                <c:pt idx="19">
                  <c:v>0.64983325393044311</c:v>
                </c:pt>
                <c:pt idx="20">
                  <c:v>0.275390625</c:v>
                </c:pt>
                <c:pt idx="21">
                  <c:v>0.45709430756159725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'FC Porto SAD'!$C$45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'FC Porto SAD'!$G$45:$AB$45</c:f>
              <c:numCache>
                <c:formatCode>0.0</c:formatCode>
                <c:ptCount val="22"/>
                <c:pt idx="0">
                  <c:v>1.8324751362482716</c:v>
                </c:pt>
                <c:pt idx="1">
                  <c:v>93.571113322025042</c:v>
                </c:pt>
                <c:pt idx="2">
                  <c:v>1.4737330835217333</c:v>
                </c:pt>
                <c:pt idx="3">
                  <c:v>4.5670933022449987</c:v>
                </c:pt>
                <c:pt idx="4">
                  <c:v>2.958962744357363</c:v>
                </c:pt>
                <c:pt idx="5">
                  <c:v>3.534040898832814</c:v>
                </c:pt>
                <c:pt idx="6">
                  <c:v>17.044820876048664</c:v>
                </c:pt>
                <c:pt idx="7">
                  <c:v>12.063746467304675</c:v>
                </c:pt>
                <c:pt idx="8">
                  <c:v>7.0600847963373994</c:v>
                </c:pt>
                <c:pt idx="9">
                  <c:v>7.0116584367782062</c:v>
                </c:pt>
                <c:pt idx="10">
                  <c:v>7.0116584367782062</c:v>
                </c:pt>
                <c:pt idx="11">
                  <c:v>8.6735654584607875</c:v>
                </c:pt>
                <c:pt idx="12">
                  <c:v>-17.647610718674493</c:v>
                </c:pt>
                <c:pt idx="13">
                  <c:v>28.873078544266004</c:v>
                </c:pt>
                <c:pt idx="14">
                  <c:v>-7.0602374427456205</c:v>
                </c:pt>
                <c:pt idx="15">
                  <c:v>13.781893004115226</c:v>
                </c:pt>
                <c:pt idx="16">
                  <c:v>-12.160714285714286</c:v>
                </c:pt>
                <c:pt idx="17">
                  <c:v>-6.5</c:v>
                </c:pt>
                <c:pt idx="18">
                  <c:v>-5.3837448559670777</c:v>
                </c:pt>
                <c:pt idx="19">
                  <c:v>-5.005364806866953</c:v>
                </c:pt>
                <c:pt idx="20">
                  <c:v>-2.4380679100908655</c:v>
                </c:pt>
                <c:pt idx="21">
                  <c:v>-3.3215708594194653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'GALP Energia'!$C$26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14"/>
              <c:layout>
                <c:manualLayout>
                  <c:x val="1.8567251461988304E-3"/>
                  <c:y val="-3.8805555555555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5D-472C-B09C-70169EDA0905}"/>
                </c:ext>
              </c:extLst>
            </c:dLbl>
            <c:dLbl>
              <c:idx val="16"/>
              <c:layout>
                <c:manualLayout>
                  <c:x val="1.8567251461988304E-3"/>
                  <c:y val="-3.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5D-472C-B09C-70169EDA09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'GALP Energia'!$D$26:$U$26</c:f>
              <c:numCache>
                <c:formatCode>#,##0</c:formatCode>
                <c:ptCount val="18"/>
                <c:pt idx="0">
                  <c:v>4924.9803000000002</c:v>
                </c:pt>
                <c:pt idx="1">
                  <c:v>5799.8274000000001</c:v>
                </c:pt>
                <c:pt idx="2">
                  <c:v>15225.081</c:v>
                </c:pt>
                <c:pt idx="3">
                  <c:v>5954.0149999999994</c:v>
                </c:pt>
                <c:pt idx="4">
                  <c:v>9988.2272000000012</c:v>
                </c:pt>
                <c:pt idx="5">
                  <c:v>11942.10822</c:v>
                </c:pt>
                <c:pt idx="6">
                  <c:v>9469.0704000000005</c:v>
                </c:pt>
                <c:pt idx="7">
                  <c:v>9846.8479200000002</c:v>
                </c:pt>
                <c:pt idx="8">
                  <c:v>9777.5611840000001</c:v>
                </c:pt>
                <c:pt idx="9">
                  <c:v>6960.5305352999994</c:v>
                </c:pt>
                <c:pt idx="10">
                  <c:v>8759.3119999999999</c:v>
                </c:pt>
                <c:pt idx="11">
                  <c:v>11767.057499999999</c:v>
                </c:pt>
                <c:pt idx="12">
                  <c:v>12708.256249999999</c:v>
                </c:pt>
                <c:pt idx="13">
                  <c:v>11439.50375</c:v>
                </c:pt>
                <c:pt idx="14">
                  <c:v>12355.825000000001</c:v>
                </c:pt>
                <c:pt idx="15">
                  <c:v>7259.2545</c:v>
                </c:pt>
                <c:pt idx="16">
                  <c:v>7063.5911999999989</c:v>
                </c:pt>
                <c:pt idx="17">
                  <c:v>8332.2540000000008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'GALP Energia'!$C$5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58-4844-A75F-83123CD3C208}"/>
                </c:ext>
              </c:extLst>
            </c:dLbl>
            <c:dLbl>
              <c:idx val="1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58-4844-A75F-83123CD3C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Energia'!$D$5:$U$5</c:f>
              <c:numCache>
                <c:formatCode>#,##0</c:formatCode>
                <c:ptCount val="18"/>
                <c:pt idx="0">
                  <c:v>833.33</c:v>
                </c:pt>
                <c:pt idx="1">
                  <c:v>835.71</c:v>
                </c:pt>
                <c:pt idx="2">
                  <c:v>827.9</c:v>
                </c:pt>
                <c:pt idx="3">
                  <c:v>829.25</c:v>
                </c:pt>
                <c:pt idx="4">
                  <c:v>826.84</c:v>
                </c:pt>
                <c:pt idx="5">
                  <c:v>832.78300000000002</c:v>
                </c:pt>
                <c:pt idx="6">
                  <c:v>832.08</c:v>
                </c:pt>
                <c:pt idx="7">
                  <c:v>837.31700000000001</c:v>
                </c:pt>
                <c:pt idx="8">
                  <c:v>820.26520000000005</c:v>
                </c:pt>
                <c:pt idx="9">
                  <c:v>825.68570999999997</c:v>
                </c:pt>
                <c:pt idx="10">
                  <c:v>817.1</c:v>
                </c:pt>
                <c:pt idx="11">
                  <c:v>829.25</c:v>
                </c:pt>
                <c:pt idx="12">
                  <c:v>829.25</c:v>
                </c:pt>
                <c:pt idx="13">
                  <c:v>829.25</c:v>
                </c:pt>
                <c:pt idx="14">
                  <c:v>829.25</c:v>
                </c:pt>
                <c:pt idx="15">
                  <c:v>829.25</c:v>
                </c:pt>
                <c:pt idx="16">
                  <c:v>829.06</c:v>
                </c:pt>
                <c:pt idx="17">
                  <c:v>829.08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'GALP Energia'!$C$6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14"/>
              <c:layout>
                <c:manualLayout>
                  <c:x val="-1.3615827114261381E-16"/>
                  <c:y val="-5.291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B9-4A9E-8FB0-F59C7BF14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Energia'!$D$6:$S$6</c:f>
              <c:numCache>
                <c:formatCode>#,##0</c:formatCode>
                <c:ptCount val="16"/>
                <c:pt idx="0">
                  <c:v>10985.392</c:v>
                </c:pt>
                <c:pt idx="1">
                  <c:v>12576.628000000001</c:v>
                </c:pt>
                <c:pt idx="2">
                  <c:v>12661.183999999999</c:v>
                </c:pt>
                <c:pt idx="3">
                  <c:v>15187.892</c:v>
                </c:pt>
                <c:pt idx="4">
                  <c:v>12149.168</c:v>
                </c:pt>
                <c:pt idx="5">
                  <c:v>14265.101000000001</c:v>
                </c:pt>
                <c:pt idx="6">
                  <c:v>16987.276999999998</c:v>
                </c:pt>
                <c:pt idx="7">
                  <c:v>18644.072</c:v>
                </c:pt>
                <c:pt idx="8">
                  <c:v>19764.366000000002</c:v>
                </c:pt>
                <c:pt idx="9">
                  <c:v>18126.471000000001</c:v>
                </c:pt>
                <c:pt idx="10">
                  <c:v>15616.682000000001</c:v>
                </c:pt>
                <c:pt idx="11">
                  <c:v>13241</c:v>
                </c:pt>
                <c:pt idx="12">
                  <c:v>15308</c:v>
                </c:pt>
                <c:pt idx="13">
                  <c:v>17322</c:v>
                </c:pt>
                <c:pt idx="14">
                  <c:v>16938</c:v>
                </c:pt>
                <c:pt idx="15">
                  <c:v>10771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'GALP Energia'!$C$27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'GALP Energia'!$D$27:$S$27</c:f>
              <c:numCache>
                <c:formatCode>0.0</c:formatCode>
                <c:ptCount val="16"/>
                <c:pt idx="0">
                  <c:v>0.4483208519095177</c:v>
                </c:pt>
                <c:pt idx="1">
                  <c:v>0.46115917557551989</c:v>
                </c:pt>
                <c:pt idx="2">
                  <c:v>1.2025005718264581</c:v>
                </c:pt>
                <c:pt idx="3">
                  <c:v>0.39202379105671803</c:v>
                </c:pt>
                <c:pt idx="4">
                  <c:v>0.82213261023306294</c:v>
                </c:pt>
                <c:pt idx="5">
                  <c:v>0.83715553223212369</c:v>
                </c:pt>
                <c:pt idx="6">
                  <c:v>0.55742132185164239</c:v>
                </c:pt>
                <c:pt idx="7">
                  <c:v>0.52814899663549897</c:v>
                </c:pt>
                <c:pt idx="8">
                  <c:v>0.49470654328097341</c:v>
                </c:pt>
                <c:pt idx="9">
                  <c:v>0.38399810615646029</c:v>
                </c:pt>
                <c:pt idx="10">
                  <c:v>0.56089456134151927</c:v>
                </c:pt>
                <c:pt idx="11">
                  <c:v>0.88868344535911181</c:v>
                </c:pt>
                <c:pt idx="12">
                  <c:v>0.83017090736869603</c:v>
                </c:pt>
                <c:pt idx="13">
                  <c:v>0.66040317226648193</c:v>
                </c:pt>
                <c:pt idx="14">
                  <c:v>0.72947366867398755</c:v>
                </c:pt>
                <c:pt idx="15">
                  <c:v>0.67396290966484074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'GALP Energia'!$C$7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Energia'!$D$7:$U$7</c:f>
              <c:numCache>
                <c:formatCode>#,##0</c:formatCode>
                <c:ptCount val="18"/>
                <c:pt idx="0">
                  <c:v>1169.5450000000001</c:v>
                </c:pt>
                <c:pt idx="1">
                  <c:v>1205.8530000000001</c:v>
                </c:pt>
                <c:pt idx="2">
                  <c:v>1192.441</c:v>
                </c:pt>
                <c:pt idx="3">
                  <c:v>407</c:v>
                </c:pt>
                <c:pt idx="4">
                  <c:v>766.25099999999998</c:v>
                </c:pt>
                <c:pt idx="5">
                  <c:v>980.30200000000002</c:v>
                </c:pt>
                <c:pt idx="6">
                  <c:v>1045.6379999999999</c:v>
                </c:pt>
                <c:pt idx="7">
                  <c:v>985.01300000000003</c:v>
                </c:pt>
                <c:pt idx="8">
                  <c:v>986.51499999999999</c:v>
                </c:pt>
                <c:pt idx="9">
                  <c:v>793.827</c:v>
                </c:pt>
                <c:pt idx="10">
                  <c:v>1169</c:v>
                </c:pt>
                <c:pt idx="11">
                  <c:v>1411</c:v>
                </c:pt>
                <c:pt idx="12">
                  <c:v>1869</c:v>
                </c:pt>
                <c:pt idx="13">
                  <c:v>2218</c:v>
                </c:pt>
                <c:pt idx="14">
                  <c:v>2381</c:v>
                </c:pt>
                <c:pt idx="15">
                  <c:v>1570</c:v>
                </c:pt>
                <c:pt idx="16">
                  <c:v>2305</c:v>
                </c:pt>
                <c:pt idx="17">
                  <c:v>2760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'GALP Energia'!$C$28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'GALP Energia'!$D$28:$U$28</c:f>
              <c:numCache>
                <c:formatCode>0.0</c:formatCode>
                <c:ptCount val="18"/>
                <c:pt idx="0">
                  <c:v>4.211022491652737</c:v>
                </c:pt>
                <c:pt idx="1">
                  <c:v>4.8097300417215036</c:v>
                </c:pt>
                <c:pt idx="2">
                  <c:v>12.767995229952676</c:v>
                </c:pt>
                <c:pt idx="3">
                  <c:v>14.629029484029482</c:v>
                </c:pt>
                <c:pt idx="4">
                  <c:v>13.035189774629986</c:v>
                </c:pt>
                <c:pt idx="5">
                  <c:v>12.182070647616754</c:v>
                </c:pt>
                <c:pt idx="6">
                  <c:v>9.0557825939761187</c:v>
                </c:pt>
                <c:pt idx="7">
                  <c:v>9.996667983062153</c:v>
                </c:pt>
                <c:pt idx="8">
                  <c:v>9.9112139034885427</c:v>
                </c:pt>
                <c:pt idx="9">
                  <c:v>8.7683217316871307</c:v>
                </c:pt>
                <c:pt idx="10">
                  <c:v>7.4929957228400346</c:v>
                </c:pt>
                <c:pt idx="11">
                  <c:v>8.3395163004961006</c:v>
                </c:pt>
                <c:pt idx="12">
                  <c:v>6.7994950508293197</c:v>
                </c:pt>
                <c:pt idx="13">
                  <c:v>5.1575760820559058</c:v>
                </c:pt>
                <c:pt idx="14">
                  <c:v>5.189342713145737</c:v>
                </c:pt>
                <c:pt idx="15">
                  <c:v>4.6237289808917197</c:v>
                </c:pt>
                <c:pt idx="16">
                  <c:v>3.0644647288503251</c:v>
                </c:pt>
                <c:pt idx="17">
                  <c:v>3.0189326086956525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'GALP Energia'!$C$32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EB-4897-9024-D9A827613F8F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EB-4897-9024-D9A827613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Energia'!$D$32:$U$32</c:f>
              <c:numCache>
                <c:formatCode>0.0%</c:formatCode>
                <c:ptCount val="18"/>
                <c:pt idx="0">
                  <c:v>0.10646365646305567</c:v>
                </c:pt>
                <c:pt idx="1">
                  <c:v>9.5880469709368837E-2</c:v>
                </c:pt>
                <c:pt idx="2">
                  <c:v>9.4180844382326337E-2</c:v>
                </c:pt>
                <c:pt idx="3">
                  <c:v>2.679766224305519E-2</c:v>
                </c:pt>
                <c:pt idx="4">
                  <c:v>6.3070244810179588E-2</c:v>
                </c:pt>
                <c:pt idx="5">
                  <c:v>6.8720298580430661E-2</c:v>
                </c:pt>
                <c:pt idx="6">
                  <c:v>6.1554185523671631E-2</c:v>
                </c:pt>
                <c:pt idx="7">
                  <c:v>5.2832503543217384E-2</c:v>
                </c:pt>
                <c:pt idx="8">
                  <c:v>4.9913819648958122E-2</c:v>
                </c:pt>
                <c:pt idx="9">
                  <c:v>4.3793797479939695E-2</c:v>
                </c:pt>
                <c:pt idx="10">
                  <c:v>7.4855849661278881E-2</c:v>
                </c:pt>
                <c:pt idx="11">
                  <c:v>0.10656294841779322</c:v>
                </c:pt>
                <c:pt idx="12">
                  <c:v>0.12209302325581395</c:v>
                </c:pt>
                <c:pt idx="13">
                  <c:v>0.12804526036254474</c:v>
                </c:pt>
                <c:pt idx="14">
                  <c:v>0.14057149604439723</c:v>
                </c:pt>
                <c:pt idx="15">
                  <c:v>0.14576176770959057</c:v>
                </c:pt>
                <c:pt idx="16">
                  <c:v>0.14450504670553571</c:v>
                </c:pt>
                <c:pt idx="17">
                  <c:v>0.1491730623716355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'GALP Energia'!$C$33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EB-4897-9024-D9A827613F8F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EB-4897-9024-D9A827613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Energia'!$D$33:$U$33</c:f>
              <c:numCache>
                <c:formatCode>0.0%</c:formatCode>
                <c:ptCount val="18"/>
                <c:pt idx="0">
                  <c:v>7.8536023111419245E-2</c:v>
                </c:pt>
                <c:pt idx="1">
                  <c:v>7.5474443547189282E-2</c:v>
                </c:pt>
                <c:pt idx="2">
                  <c:v>7.3894431989930801E-2</c:v>
                </c:pt>
                <c:pt idx="3">
                  <c:v>1.1016999594150392E-2</c:v>
                </c:pt>
                <c:pt idx="4">
                  <c:v>3.7761927401119159E-2</c:v>
                </c:pt>
                <c:pt idx="5">
                  <c:v>4.550251694677801E-2</c:v>
                </c:pt>
                <c:pt idx="6">
                  <c:v>3.7774152973428288E-2</c:v>
                </c:pt>
                <c:pt idx="7">
                  <c:v>2.9958262336682671E-2</c:v>
                </c:pt>
                <c:pt idx="8">
                  <c:v>2.0301840190573274E-2</c:v>
                </c:pt>
                <c:pt idx="9">
                  <c:v>9.9428620165502701E-3</c:v>
                </c:pt>
                <c:pt idx="10">
                  <c:v>2.8774806325697098E-2</c:v>
                </c:pt>
                <c:pt idx="11">
                  <c:v>5.8303753492938599E-2</c:v>
                </c:pt>
                <c:pt idx="12">
                  <c:v>6.9440815259994779E-2</c:v>
                </c:pt>
                <c:pt idx="13">
                  <c:v>8.7634222376169038E-2</c:v>
                </c:pt>
                <c:pt idx="14">
                  <c:v>8.1886881568071793E-2</c:v>
                </c:pt>
                <c:pt idx="15">
                  <c:v>3.9643487141398197E-2</c:v>
                </c:pt>
                <c:pt idx="16">
                  <c:v>8.7643407936806472E-2</c:v>
                </c:pt>
                <c:pt idx="17">
                  <c:v>9.5989622743487185E-2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'GALP Energia'!$C$35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EB-4897-9024-D9A827613F8F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EB-4897-9024-D9A827613F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Energia'!$D$35:$U$35</c:f>
              <c:numCache>
                <c:formatCode>0.0%</c:formatCode>
                <c:ptCount val="18"/>
                <c:pt idx="0">
                  <c:v>6.3780791800602116E-2</c:v>
                </c:pt>
                <c:pt idx="1">
                  <c:v>6.0014019656143121E-2</c:v>
                </c:pt>
                <c:pt idx="2">
                  <c:v>5.6888202556727718E-2</c:v>
                </c:pt>
                <c:pt idx="3">
                  <c:v>7.7015954551164839E-3</c:v>
                </c:pt>
                <c:pt idx="4">
                  <c:v>2.8584014971230951E-2</c:v>
                </c:pt>
                <c:pt idx="5">
                  <c:v>3.1672401057658124E-2</c:v>
                </c:pt>
                <c:pt idx="6">
                  <c:v>2.5470945107918124E-2</c:v>
                </c:pt>
                <c:pt idx="7">
                  <c:v>1.8413359484988043E-2</c:v>
                </c:pt>
                <c:pt idx="8">
                  <c:v>9.5455123630072414E-3</c:v>
                </c:pt>
                <c:pt idx="9">
                  <c:v>-9.5657891709864541E-3</c:v>
                </c:pt>
                <c:pt idx="10">
                  <c:v>7.8484021125614263E-3</c:v>
                </c:pt>
                <c:pt idx="11">
                  <c:v>3.6477607431462881E-2</c:v>
                </c:pt>
                <c:pt idx="12">
                  <c:v>3.9325842696629212E-2</c:v>
                </c:pt>
                <c:pt idx="13">
                  <c:v>4.0815148366239465E-2</c:v>
                </c:pt>
                <c:pt idx="14">
                  <c:v>3.3061754634549537E-2</c:v>
                </c:pt>
                <c:pt idx="15">
                  <c:v>-3.8993593909572E-3</c:v>
                </c:pt>
                <c:pt idx="16">
                  <c:v>2.8986897373205443E-2</c:v>
                </c:pt>
                <c:pt idx="17">
                  <c:v>3.6831693870932873E-2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 Energia'!$C$12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Energia'!$D$12:$U$12</c:f>
              <c:numCache>
                <c:formatCode>#,##0</c:formatCode>
                <c:ptCount val="18"/>
                <c:pt idx="0">
                  <c:v>700.65700000000004</c:v>
                </c:pt>
                <c:pt idx="1">
                  <c:v>754.774</c:v>
                </c:pt>
                <c:pt idx="2">
                  <c:v>720.27200000000005</c:v>
                </c:pt>
                <c:pt idx="3">
                  <c:v>116.971</c:v>
                </c:pt>
                <c:pt idx="4">
                  <c:v>347.27199999999999</c:v>
                </c:pt>
                <c:pt idx="5">
                  <c:v>451.81</c:v>
                </c:pt>
                <c:pt idx="6">
                  <c:v>432.68200000000002</c:v>
                </c:pt>
                <c:pt idx="7">
                  <c:v>343.3</c:v>
                </c:pt>
                <c:pt idx="8">
                  <c:v>188.661</c:v>
                </c:pt>
                <c:pt idx="9">
                  <c:v>-173.39400000000001</c:v>
                </c:pt>
                <c:pt idx="10">
                  <c:v>122.566</c:v>
                </c:pt>
                <c:pt idx="11">
                  <c:v>483</c:v>
                </c:pt>
                <c:pt idx="12">
                  <c:v>602</c:v>
                </c:pt>
                <c:pt idx="13">
                  <c:v>707</c:v>
                </c:pt>
                <c:pt idx="14">
                  <c:v>560</c:v>
                </c:pt>
                <c:pt idx="15">
                  <c:v>-42</c:v>
                </c:pt>
                <c:pt idx="16">
                  <c:v>462.37</c:v>
                </c:pt>
                <c:pt idx="17">
                  <c:v>681.46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'GALP Energia'!$C$36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C-4074-BCD8-62DD40455887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'GALP Energia'!$D$36:$U$36</c:f>
              <c:numCache>
                <c:formatCode>0.0</c:formatCode>
                <c:ptCount val="18"/>
                <c:pt idx="0">
                  <c:v>7.0290888409021814</c:v>
                </c:pt>
                <c:pt idx="1">
                  <c:v>7.6841907643877505</c:v>
                </c:pt>
                <c:pt idx="2">
                  <c:v>21.137960381633604</c:v>
                </c:pt>
                <c:pt idx="3">
                  <c:v>50.901633738276999</c:v>
                </c:pt>
                <c:pt idx="4">
                  <c:v>28.761971019834601</c:v>
                </c:pt>
                <c:pt idx="5">
                  <c:v>26.431704079148314</c:v>
                </c:pt>
                <c:pt idx="6">
                  <c:v>21.884595153022314</c:v>
                </c:pt>
                <c:pt idx="7">
                  <c:v>28.682924322749781</c:v>
                </c:pt>
                <c:pt idx="8">
                  <c:v>51.826085857702438</c:v>
                </c:pt>
                <c:pt idx="9">
                  <c:v>0</c:v>
                </c:pt>
                <c:pt idx="10">
                  <c:v>71.466083579459223</c:v>
                </c:pt>
                <c:pt idx="11">
                  <c:v>24.362437888198755</c:v>
                </c:pt>
                <c:pt idx="12">
                  <c:v>21.110060215946842</c:v>
                </c:pt>
                <c:pt idx="13">
                  <c:v>16.18034476661952</c:v>
                </c:pt>
                <c:pt idx="14">
                  <c:v>22.063973214285717</c:v>
                </c:pt>
                <c:pt idx="15">
                  <c:v>0</c:v>
                </c:pt>
                <c:pt idx="16">
                  <c:v>15.276923675844019</c:v>
                </c:pt>
                <c:pt idx="17">
                  <c:v>12.227062483491329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BCP!$C$6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1.8567251461988304E-3"/>
                  <c:y val="-7.0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9-4B33-A068-8F96BA3B4290}"/>
                </c:ext>
              </c:extLst>
            </c:dLbl>
            <c:dLbl>
              <c:idx val="4"/>
              <c:layout>
                <c:manualLayout>
                  <c:x val="-3.7134502923976609E-3"/>
                  <c:y val="-3.5277777777777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9-4B33-A068-8F96BA3B4290}"/>
                </c:ext>
              </c:extLst>
            </c:dLbl>
            <c:dLbl>
              <c:idx val="9"/>
              <c:layout>
                <c:manualLayout>
                  <c:x val="9.2836257309941526E-3"/>
                  <c:y val="-6.7027777777777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9-4B33-A068-8F96BA3B4290}"/>
                </c:ext>
              </c:extLst>
            </c:dLbl>
            <c:dLbl>
              <c:idx val="19"/>
              <c:layout>
                <c:manualLayout>
                  <c:x val="-1.3615827114261381E-16"/>
                  <c:y val="-6.35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9-4B33-A068-8F96BA3B4290}"/>
                </c:ext>
              </c:extLst>
            </c:dLbl>
            <c:dLbl>
              <c:idx val="21"/>
              <c:layout>
                <c:manualLayout>
                  <c:x val="-5.5701754385964908E-3"/>
                  <c:y val="-5.2916666666666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9-4B33-A068-8F96BA3B4290}"/>
                </c:ext>
              </c:extLst>
            </c:dLbl>
            <c:dLbl>
              <c:idx val="22"/>
              <c:layout>
                <c:manualLayout>
                  <c:x val="0"/>
                  <c:y val="-7.7611111111111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9-4B33-A068-8F96BA3B4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BCP!$D$3:$AA$3</c:f>
              <c:numCache>
                <c:formatCode>General</c:formatCod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BCP!$D$6:$AA$6</c:f>
              <c:numCache>
                <c:formatCode>#,##0</c:formatCode>
                <c:ptCount val="24"/>
                <c:pt idx="0">
                  <c:v>2004.0321149999997</c:v>
                </c:pt>
                <c:pt idx="1">
                  <c:v>1918.1117650000001</c:v>
                </c:pt>
                <c:pt idx="2">
                  <c:v>3672.4630000000002</c:v>
                </c:pt>
                <c:pt idx="3">
                  <c:v>4028.7570000000001</c:v>
                </c:pt>
                <c:pt idx="4">
                  <c:v>4650.1540000000005</c:v>
                </c:pt>
                <c:pt idx="5">
                  <c:v>4646.9769999999999</c:v>
                </c:pt>
                <c:pt idx="6">
                  <c:v>2426.538</c:v>
                </c:pt>
                <c:pt idx="7">
                  <c:v>2860.3310000000001</c:v>
                </c:pt>
                <c:pt idx="8">
                  <c:v>2702.002</c:v>
                </c:pt>
                <c:pt idx="9">
                  <c:v>2732.942</c:v>
                </c:pt>
                <c:pt idx="10">
                  <c:v>2591.35</c:v>
                </c:pt>
                <c:pt idx="11">
                  <c:v>2351.962</c:v>
                </c:pt>
                <c:pt idx="12">
                  <c:v>2821.165</c:v>
                </c:pt>
                <c:pt idx="13">
                  <c:v>2554.864</c:v>
                </c:pt>
                <c:pt idx="14">
                  <c:v>2070.0160000000001</c:v>
                </c:pt>
                <c:pt idx="15">
                  <c:v>1743.788</c:v>
                </c:pt>
                <c:pt idx="16">
                  <c:v>2211.0639999999999</c:v>
                </c:pt>
                <c:pt idx="17">
                  <c:v>2510.1590000000001</c:v>
                </c:pt>
                <c:pt idx="18">
                  <c:v>2022</c:v>
                </c:pt>
                <c:pt idx="19">
                  <c:v>2102</c:v>
                </c:pt>
                <c:pt idx="20">
                  <c:v>2187</c:v>
                </c:pt>
                <c:pt idx="21">
                  <c:v>2338</c:v>
                </c:pt>
                <c:pt idx="22">
                  <c:v>2343</c:v>
                </c:pt>
                <c:pt idx="23">
                  <c:v>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BCP!$C$27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BCP!$D$27:$AA$27</c:f>
              <c:numCache>
                <c:formatCode>0.0</c:formatCode>
                <c:ptCount val="24"/>
                <c:pt idx="0">
                  <c:v>1.8093522418426915</c:v>
                </c:pt>
                <c:pt idx="1">
                  <c:v>9.9472827121729264</c:v>
                </c:pt>
                <c:pt idx="2">
                  <c:v>11.193186550399554</c:v>
                </c:pt>
                <c:pt idx="3">
                  <c:v>9.5118653282364747</c:v>
                </c:pt>
                <c:pt idx="4">
                  <c:v>4.1279058145708722</c:v>
                </c:pt>
                <c:pt idx="5">
                  <c:v>5.0259694179872207</c:v>
                </c:pt>
                <c:pt idx="6">
                  <c:v>10.282835347239565</c:v>
                </c:pt>
                <c:pt idx="7">
                  <c:v>10.750456600610208</c:v>
                </c:pt>
                <c:pt idx="8">
                  <c:v>15.169711415998213</c:v>
                </c:pt>
                <c:pt idx="9">
                  <c:v>15.64546268207668</c:v>
                </c:pt>
                <c:pt idx="10">
                  <c:v>6.6487282690489522</c:v>
                </c:pt>
                <c:pt idx="11">
                  <c:v>7.6048958273985736</c:v>
                </c:pt>
                <c:pt idx="12">
                  <c:v>4.3598485023031266</c:v>
                </c:pt>
                <c:pt idx="13">
                  <c:v>1.8618330602333431</c:v>
                </c:pt>
                <c:pt idx="14">
                  <c:v>5.3313663051879798</c:v>
                </c:pt>
                <c:pt idx="15">
                  <c:v>14.126693626174742</c:v>
                </c:pt>
                <c:pt idx="16">
                  <c:v>1.1605950800157754</c:v>
                </c:pt>
                <c:pt idx="17">
                  <c:v>0.91432056694416575</c:v>
                </c:pt>
                <c:pt idx="18">
                  <c:v>0.65236076162215628</c:v>
                </c:pt>
                <c:pt idx="19">
                  <c:v>1.7228392007611799</c:v>
                </c:pt>
                <c:pt idx="20">
                  <c:v>1.5860370370370371</c:v>
                </c:pt>
                <c:pt idx="21">
                  <c:v>1.3109996416875964</c:v>
                </c:pt>
                <c:pt idx="22">
                  <c:v>0.79472623221784033</c:v>
                </c:pt>
                <c:pt idx="23">
                  <c:v>0.9187062917328731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'GALP Energia'!$C$38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04-48E8-BCD4-2AE82789C45F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4-48E8-BCD4-2AE82789C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Energia'!$D$38:$U$38</c:f>
              <c:numCache>
                <c:formatCode>0%</c:formatCode>
                <c:ptCount val="18"/>
                <c:pt idx="0">
                  <c:v>0.36538489229656368</c:v>
                </c:pt>
                <c:pt idx="1">
                  <c:v>0.4703417062369899</c:v>
                </c:pt>
                <c:pt idx="2">
                  <c:v>0.39846769893337736</c:v>
                </c:pt>
                <c:pt idx="3">
                  <c:v>7.6270236169937333E-2</c:v>
                </c:pt>
                <c:pt idx="4">
                  <c:v>0.19427485910312989</c:v>
                </c:pt>
                <c:pt idx="5">
                  <c:v>0.24230309220163143</c:v>
                </c:pt>
                <c:pt idx="6">
                  <c:v>0.22238218003710294</c:v>
                </c:pt>
                <c:pt idx="7">
                  <c:v>8.3290510819159155E-2</c:v>
                </c:pt>
                <c:pt idx="8">
                  <c:v>6.2541382212662491E-2</c:v>
                </c:pt>
                <c:pt idx="9">
                  <c:v>3.6013121693375429E-2</c:v>
                </c:pt>
                <c:pt idx="10">
                  <c:v>9.4165895863395355E-2</c:v>
                </c:pt>
                <c:pt idx="11">
                  <c:v>0.15502008032128514</c:v>
                </c:pt>
                <c:pt idx="12">
                  <c:v>0.24470534069981584</c:v>
                </c:pt>
                <c:pt idx="13">
                  <c:v>0.33093525179856115</c:v>
                </c:pt>
                <c:pt idx="14">
                  <c:v>0.31380090497737556</c:v>
                </c:pt>
                <c:pt idx="15">
                  <c:v>0.13512658227848101</c:v>
                </c:pt>
                <c:pt idx="16">
                  <c:v>0.48932446622331116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'GALP Energia'!$C$39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04-48E8-BCD4-2AE82789C45F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4-48E8-BCD4-2AE82789C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Energia'!$D$39:$U$39</c:f>
              <c:numCache>
                <c:formatCode>0%</c:formatCode>
                <c:ptCount val="18"/>
                <c:pt idx="0">
                  <c:v>0.29673692172559279</c:v>
                </c:pt>
                <c:pt idx="1">
                  <c:v>0.37399542251095935</c:v>
                </c:pt>
                <c:pt idx="2">
                  <c:v>0.30676345373794917</c:v>
                </c:pt>
                <c:pt idx="3">
                  <c:v>5.3317829344292487E-2</c:v>
                </c:pt>
                <c:pt idx="4">
                  <c:v>0.14705699267281225</c:v>
                </c:pt>
                <c:pt idx="5">
                  <c:v>0.16865705962369179</c:v>
                </c:pt>
                <c:pt idx="6">
                  <c:v>0.1499513253067164</c:v>
                </c:pt>
                <c:pt idx="7">
                  <c:v>5.1193160009269351E-2</c:v>
                </c:pt>
                <c:pt idx="8">
                  <c:v>2.9405685962779388E-2</c:v>
                </c:pt>
                <c:pt idx="9">
                  <c:v>-3.4647360984642536E-2</c:v>
                </c:pt>
                <c:pt idx="10">
                  <c:v>2.5683989239069435E-2</c:v>
                </c:pt>
                <c:pt idx="11">
                  <c:v>9.6987951807228912E-2</c:v>
                </c:pt>
                <c:pt idx="12">
                  <c:v>0.13858195211786373</c:v>
                </c:pt>
                <c:pt idx="13">
                  <c:v>0.15413124046217572</c:v>
                </c:pt>
                <c:pt idx="14">
                  <c:v>0.12669683257918551</c:v>
                </c:pt>
                <c:pt idx="15">
                  <c:v>-1.3291139240506329E-2</c:v>
                </c:pt>
                <c:pt idx="16">
                  <c:v>0.16183759187959398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 Energia'!$C$37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 Energia'!$D$3:$U$3</c:f>
              <c:strCach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21*</c:v>
                </c:pt>
                <c:pt idx="17">
                  <c:v>22*</c:v>
                </c:pt>
              </c:strCache>
            </c:strRef>
          </c:cat>
          <c:val>
            <c:numRef>
              <c:f>'GALP Energia'!$D$37:$U$37</c:f>
              <c:numCache>
                <c:formatCode>0.0</c:formatCode>
                <c:ptCount val="18"/>
                <c:pt idx="0">
                  <c:v>2.0857901851850285</c:v>
                </c:pt>
                <c:pt idx="1">
                  <c:v>2.8738521715820089</c:v>
                </c:pt>
                <c:pt idx="2">
                  <c:v>6.4843537316458626</c:v>
                </c:pt>
                <c:pt idx="3">
                  <c:v>2.7139646210031341</c:v>
                </c:pt>
                <c:pt idx="4">
                  <c:v>4.2296489615194552</c:v>
                </c:pt>
                <c:pt idx="5">
                  <c:v>4.4578934908326948</c:v>
                </c:pt>
                <c:pt idx="6">
                  <c:v>3.281624046996638</c:v>
                </c:pt>
                <c:pt idx="7">
                  <c:v>1.4683695343882932</c:v>
                </c:pt>
                <c:pt idx="8">
                  <c:v>1.52398160541164</c:v>
                </c:pt>
                <c:pt idx="9">
                  <c:v>1.3908440551643437</c:v>
                </c:pt>
                <c:pt idx="10">
                  <c:v>1.8355341216132677</c:v>
                </c:pt>
                <c:pt idx="11">
                  <c:v>2.3628629518072288</c:v>
                </c:pt>
                <c:pt idx="12">
                  <c:v>2.9254733540515652</c:v>
                </c:pt>
                <c:pt idx="13">
                  <c:v>2.4938966099847395</c:v>
                </c:pt>
                <c:pt idx="14">
                  <c:v>2.7954355203619912</c:v>
                </c:pt>
                <c:pt idx="15">
                  <c:v>2.2972324367088608</c:v>
                </c:pt>
                <c:pt idx="16">
                  <c:v>2.4723805390269509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'GALP Energia'!$C$41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'GALP Energia'!$D$41:$U$41</c:f>
              <c:numCache>
                <c:formatCode>0.0</c:formatCode>
                <c:ptCount val="18"/>
                <c:pt idx="0">
                  <c:v>1.3371229616862632</c:v>
                </c:pt>
                <c:pt idx="1">
                  <c:v>1.166567665377154</c:v>
                </c:pt>
                <c:pt idx="2">
                  <c:v>1.261950214444201</c:v>
                </c:pt>
                <c:pt idx="3">
                  <c:v>1.0102799659883839</c:v>
                </c:pt>
                <c:pt idx="4">
                  <c:v>1.123145566267655</c:v>
                </c:pt>
                <c:pt idx="5">
                  <c:v>1.0671427171078447</c:v>
                </c:pt>
                <c:pt idx="6">
                  <c:v>0.94173724831755334</c:v>
                </c:pt>
                <c:pt idx="7">
                  <c:v>1.6654372494197309</c:v>
                </c:pt>
                <c:pt idx="8">
                  <c:v>1.9842424700694912</c:v>
                </c:pt>
                <c:pt idx="9">
                  <c:v>2.2884553320535295</c:v>
                </c:pt>
                <c:pt idx="10">
                  <c:v>2.0238868729978825</c:v>
                </c:pt>
                <c:pt idx="11">
                  <c:v>1.9156235512285582</c:v>
                </c:pt>
                <c:pt idx="12">
                  <c:v>1.7469135802469136</c:v>
                </c:pt>
                <c:pt idx="13">
                  <c:v>1.7942293090356871</c:v>
                </c:pt>
                <c:pt idx="14">
                  <c:v>1.59881903438694</c:v>
                </c:pt>
                <c:pt idx="15">
                  <c:v>1.9283807829181494</c:v>
                </c:pt>
                <c:pt idx="16">
                  <c:v>1.5085181613629057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'GALP Energia'!$C$45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'GALP Energia'!$D$45:$U$45</c:f>
              <c:numCache>
                <c:formatCode>0.0</c:formatCode>
                <c:ptCount val="18"/>
                <c:pt idx="0">
                  <c:v>1.5028002639329223</c:v>
                </c:pt>
                <c:pt idx="1">
                  <c:v>1.5881657191756555</c:v>
                </c:pt>
                <c:pt idx="2">
                  <c:v>1.4073655903903453</c:v>
                </c:pt>
                <c:pt idx="3">
                  <c:v>2.0075178545056072</c:v>
                </c:pt>
                <c:pt idx="4">
                  <c:v>2.169811800147281</c:v>
                </c:pt>
                <c:pt idx="5">
                  <c:v>2.4081287319867943</c:v>
                </c:pt>
                <c:pt idx="6">
                  <c:v>2.5000882001384168</c:v>
                </c:pt>
                <c:pt idx="7">
                  <c:v>1.0740572510421305</c:v>
                </c:pt>
                <c:pt idx="8">
                  <c:v>1.1380535552853892</c:v>
                </c:pt>
                <c:pt idx="9">
                  <c:v>1.3569079417336707</c:v>
                </c:pt>
                <c:pt idx="10">
                  <c:v>1.6808191316235819</c:v>
                </c:pt>
                <c:pt idx="11">
                  <c:v>1.4977911646586346</c:v>
                </c:pt>
                <c:pt idx="12">
                  <c:v>1.774171270718232</c:v>
                </c:pt>
                <c:pt idx="13">
                  <c:v>1.7658600392413342</c:v>
                </c:pt>
                <c:pt idx="14">
                  <c:v>2.1153846153846154</c:v>
                </c:pt>
                <c:pt idx="15">
                  <c:v>2.9531645569620255</c:v>
                </c:pt>
                <c:pt idx="16">
                  <c:v>3.7483374168708434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Ibersol!$C$26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Ibersol!$F$26:$AC$26</c:f>
              <c:numCache>
                <c:formatCode>#,##0</c:formatCode>
                <c:ptCount val="24"/>
                <c:pt idx="0">
                  <c:v>125.79</c:v>
                </c:pt>
                <c:pt idx="1">
                  <c:v>63.42</c:v>
                </c:pt>
                <c:pt idx="2">
                  <c:v>83.88</c:v>
                </c:pt>
                <c:pt idx="3">
                  <c:v>74.88</c:v>
                </c:pt>
                <c:pt idx="4">
                  <c:v>69.84</c:v>
                </c:pt>
                <c:pt idx="5">
                  <c:v>78.12</c:v>
                </c:pt>
                <c:pt idx="6">
                  <c:v>97.92</c:v>
                </c:pt>
                <c:pt idx="7">
                  <c:v>113.01330356999999</c:v>
                </c:pt>
                <c:pt idx="8">
                  <c:v>178.85999999999999</c:v>
                </c:pt>
                <c:pt idx="9">
                  <c:v>210.21</c:v>
                </c:pt>
                <c:pt idx="10">
                  <c:v>126.39</c:v>
                </c:pt>
                <c:pt idx="11">
                  <c:v>168.96</c:v>
                </c:pt>
                <c:pt idx="12">
                  <c:v>148.5</c:v>
                </c:pt>
                <c:pt idx="13">
                  <c:v>74.58</c:v>
                </c:pt>
                <c:pt idx="14">
                  <c:v>73.39200000000001</c:v>
                </c:pt>
                <c:pt idx="15">
                  <c:v>113.52</c:v>
                </c:pt>
                <c:pt idx="16">
                  <c:v>124.74</c:v>
                </c:pt>
                <c:pt idx="17">
                  <c:v>163.35</c:v>
                </c:pt>
                <c:pt idx="18">
                  <c:v>269.89318702499997</c:v>
                </c:pt>
                <c:pt idx="19">
                  <c:v>328.21275367200002</c:v>
                </c:pt>
                <c:pt idx="20">
                  <c:v>252.8</c:v>
                </c:pt>
                <c:pt idx="21">
                  <c:v>288</c:v>
                </c:pt>
                <c:pt idx="22">
                  <c:v>194.4</c:v>
                </c:pt>
                <c:pt idx="23">
                  <c:v>219.63199999999998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Ibersol!$C$5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4-4716-977E-48A56EB80245}"/>
                </c:ext>
              </c:extLst>
            </c:dLbl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F4-4716-977E-48A56EB80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Ibersol!$F$5:$AC$5</c:f>
              <c:numCache>
                <c:formatCode>#,##0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33.937928999999997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32.400142499999994</c:v>
                </c:pt>
                <c:pt idx="19">
                  <c:v>32.400074400000001</c:v>
                </c:pt>
                <c:pt idx="20">
                  <c:v>32</c:v>
                </c:pt>
                <c:pt idx="21">
                  <c:v>36</c:v>
                </c:pt>
                <c:pt idx="22">
                  <c:v>36</c:v>
                </c:pt>
                <c:pt idx="23">
                  <c:v>42.4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Ibersol!$C$6</c:f>
              <c:strCache>
                <c:ptCount val="1"/>
                <c:pt idx="0">
                  <c:v>Vendas (M€)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Ibersol!$F$6:$AC$6</c:f>
              <c:numCache>
                <c:formatCode>#,##0</c:formatCode>
                <c:ptCount val="24"/>
                <c:pt idx="0">
                  <c:v>65.67</c:v>
                </c:pt>
                <c:pt idx="1">
                  <c:v>75.16</c:v>
                </c:pt>
                <c:pt idx="2">
                  <c:v>82.249474000000006</c:v>
                </c:pt>
                <c:pt idx="3">
                  <c:v>96.723540999999997</c:v>
                </c:pt>
                <c:pt idx="4">
                  <c:v>120.61</c:v>
                </c:pt>
                <c:pt idx="5">
                  <c:v>131.1</c:v>
                </c:pt>
                <c:pt idx="6">
                  <c:v>139.4</c:v>
                </c:pt>
                <c:pt idx="7">
                  <c:v>142.4</c:v>
                </c:pt>
                <c:pt idx="8">
                  <c:v>169.599999</c:v>
                </c:pt>
                <c:pt idx="9">
                  <c:v>206.03619499999999</c:v>
                </c:pt>
                <c:pt idx="10">
                  <c:v>218.072495</c:v>
                </c:pt>
                <c:pt idx="11">
                  <c:v>211.27655200000001</c:v>
                </c:pt>
                <c:pt idx="12">
                  <c:v>215.93038100000001</c:v>
                </c:pt>
                <c:pt idx="13">
                  <c:v>198.15866399999999</c:v>
                </c:pt>
                <c:pt idx="14">
                  <c:v>174.10023100000001</c:v>
                </c:pt>
                <c:pt idx="15">
                  <c:v>174.307605</c:v>
                </c:pt>
                <c:pt idx="16">
                  <c:v>189.639805</c:v>
                </c:pt>
                <c:pt idx="17">
                  <c:v>215.93937700000001</c:v>
                </c:pt>
                <c:pt idx="18">
                  <c:v>278.92</c:v>
                </c:pt>
                <c:pt idx="19">
                  <c:v>458.11</c:v>
                </c:pt>
                <c:pt idx="20">
                  <c:v>460.03</c:v>
                </c:pt>
                <c:pt idx="21">
                  <c:v>481.76</c:v>
                </c:pt>
                <c:pt idx="22">
                  <c:v>287.64</c:v>
                </c:pt>
                <c:pt idx="23">
                  <c:v>361.5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Ibersol!$C$27</c:f>
              <c:strCache>
                <c:ptCount val="1"/>
                <c:pt idx="0">
                  <c:v>Múltiplo das Vendas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Ibersol!$F$27:$AC$27</c:f>
              <c:numCache>
                <c:formatCode>0.0</c:formatCode>
                <c:ptCount val="24"/>
                <c:pt idx="0">
                  <c:v>1.9154865235267247</c:v>
                </c:pt>
                <c:pt idx="1">
                  <c:v>0.84379989356040452</c:v>
                </c:pt>
                <c:pt idx="2">
                  <c:v>1.0198241510942669</c:v>
                </c:pt>
                <c:pt idx="3">
                  <c:v>0.77416520555218293</c:v>
                </c:pt>
                <c:pt idx="4">
                  <c:v>0.57905646297985247</c:v>
                </c:pt>
                <c:pt idx="5">
                  <c:v>0.59588100686498857</c:v>
                </c:pt>
                <c:pt idx="6">
                  <c:v>0.70243902439024386</c:v>
                </c:pt>
                <c:pt idx="7">
                  <c:v>0.79363274978932574</c:v>
                </c:pt>
                <c:pt idx="8">
                  <c:v>1.0545990628219284</c:v>
                </c:pt>
                <c:pt idx="9">
                  <c:v>1.0202576299761312</c:v>
                </c:pt>
                <c:pt idx="10">
                  <c:v>0.57957790596196002</c:v>
                </c:pt>
                <c:pt idx="11">
                  <c:v>0.79971013536797975</c:v>
                </c:pt>
                <c:pt idx="12">
                  <c:v>0.68772165969549226</c:v>
                </c:pt>
                <c:pt idx="13">
                  <c:v>0.37636507278833897</c:v>
                </c:pt>
                <c:pt idx="14">
                  <c:v>0.42155027353180252</c:v>
                </c:pt>
                <c:pt idx="15">
                  <c:v>0.65126246212837358</c:v>
                </c:pt>
                <c:pt idx="16">
                  <c:v>0.65777329817439956</c:v>
                </c:pt>
                <c:pt idx="17">
                  <c:v>0.75646231025293731</c:v>
                </c:pt>
                <c:pt idx="18">
                  <c:v>0.96763655178904329</c:v>
                </c:pt>
                <c:pt idx="19">
                  <c:v>0.7164496598458886</c:v>
                </c:pt>
                <c:pt idx="20">
                  <c:v>0.54952937851879236</c:v>
                </c:pt>
                <c:pt idx="21">
                  <c:v>0.59780803719694453</c:v>
                </c:pt>
                <c:pt idx="22">
                  <c:v>0.6758448060075094</c:v>
                </c:pt>
                <c:pt idx="23">
                  <c:v>0.60755739972337475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73672"/>
        <c:axId val="77518088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751808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73672"/>
        <c:crosses val="max"/>
        <c:crossBetween val="between"/>
      </c:valAx>
      <c:catAx>
        <c:axId val="77517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775180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Ibersol!$C$7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ysClr val="windowText" lastClr="000000"/>
            </a:solidFill>
            <a:ln w="444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Ibersol!$F$7:$AC$7</c:f>
              <c:numCache>
                <c:formatCode>#,##0</c:formatCode>
                <c:ptCount val="24"/>
                <c:pt idx="0">
                  <c:v>10.02</c:v>
                </c:pt>
                <c:pt idx="1">
                  <c:v>11.76</c:v>
                </c:pt>
                <c:pt idx="2">
                  <c:v>12.714537999999999</c:v>
                </c:pt>
                <c:pt idx="3">
                  <c:v>15.49</c:v>
                </c:pt>
                <c:pt idx="4">
                  <c:v>17.8</c:v>
                </c:pt>
                <c:pt idx="5">
                  <c:v>19.7</c:v>
                </c:pt>
                <c:pt idx="6">
                  <c:v>23.2</c:v>
                </c:pt>
                <c:pt idx="7">
                  <c:v>24.1</c:v>
                </c:pt>
                <c:pt idx="8">
                  <c:v>27.8</c:v>
                </c:pt>
                <c:pt idx="9">
                  <c:v>32.4</c:v>
                </c:pt>
                <c:pt idx="10">
                  <c:v>35</c:v>
                </c:pt>
                <c:pt idx="11">
                  <c:v>34</c:v>
                </c:pt>
                <c:pt idx="12">
                  <c:v>32.299999999999997</c:v>
                </c:pt>
                <c:pt idx="13">
                  <c:v>23.3</c:v>
                </c:pt>
                <c:pt idx="14">
                  <c:v>17.100000000000001</c:v>
                </c:pt>
                <c:pt idx="15">
                  <c:v>18.600000000000001</c:v>
                </c:pt>
                <c:pt idx="16">
                  <c:v>25.4</c:v>
                </c:pt>
                <c:pt idx="17">
                  <c:v>32.700000000000003</c:v>
                </c:pt>
                <c:pt idx="18">
                  <c:v>47.11</c:v>
                </c:pt>
                <c:pt idx="19">
                  <c:v>47.7</c:v>
                </c:pt>
                <c:pt idx="20">
                  <c:v>61</c:v>
                </c:pt>
                <c:pt idx="21">
                  <c:v>119.54</c:v>
                </c:pt>
                <c:pt idx="22">
                  <c:v>43.6</c:v>
                </c:pt>
                <c:pt idx="23">
                  <c:v>80.5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08968"/>
        <c:axId val="815906016"/>
      </c:barChart>
      <c:lineChart>
        <c:grouping val="standard"/>
        <c:varyColors val="0"/>
        <c:ser>
          <c:idx val="1"/>
          <c:order val="1"/>
          <c:tx>
            <c:strRef>
              <c:f>Ibersol!$C$28</c:f>
              <c:strCache>
                <c:ptCount val="1"/>
                <c:pt idx="0">
                  <c:v>Múltiplo do EBITDA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val>
            <c:numRef>
              <c:f>Ibersol!$F$28:$AC$28</c:f>
              <c:numCache>
                <c:formatCode>0.0</c:formatCode>
                <c:ptCount val="24"/>
                <c:pt idx="0">
                  <c:v>12.553892215568863</c:v>
                </c:pt>
                <c:pt idx="1">
                  <c:v>5.3928571428571432</c:v>
                </c:pt>
                <c:pt idx="2">
                  <c:v>6.5971724650946815</c:v>
                </c:pt>
                <c:pt idx="3">
                  <c:v>4.8340865074241446</c:v>
                </c:pt>
                <c:pt idx="4">
                  <c:v>3.9235955056179774</c:v>
                </c:pt>
                <c:pt idx="5">
                  <c:v>3.9654822335025384</c:v>
                </c:pt>
                <c:pt idx="6">
                  <c:v>4.2206896551724142</c:v>
                </c:pt>
                <c:pt idx="7">
                  <c:v>4.6893486958506214</c:v>
                </c:pt>
                <c:pt idx="8">
                  <c:v>6.4338129496402869</c:v>
                </c:pt>
                <c:pt idx="9">
                  <c:v>6.4879629629629632</c:v>
                </c:pt>
                <c:pt idx="10">
                  <c:v>3.6111428571428572</c:v>
                </c:pt>
                <c:pt idx="11">
                  <c:v>4.9694117647058826</c:v>
                </c:pt>
                <c:pt idx="12">
                  <c:v>4.5975232198142422</c:v>
                </c:pt>
                <c:pt idx="13">
                  <c:v>3.2008583690987122</c:v>
                </c:pt>
                <c:pt idx="14">
                  <c:v>4.2919298245614037</c:v>
                </c:pt>
                <c:pt idx="15">
                  <c:v>6.1032258064516123</c:v>
                </c:pt>
                <c:pt idx="16">
                  <c:v>4.9110236220472441</c:v>
                </c:pt>
                <c:pt idx="17">
                  <c:v>4.9954128440366965</c:v>
                </c:pt>
                <c:pt idx="18">
                  <c:v>5.7289999368499256</c:v>
                </c:pt>
                <c:pt idx="19">
                  <c:v>6.8807705172327047</c:v>
                </c:pt>
                <c:pt idx="20">
                  <c:v>4.1442622950819672</c:v>
                </c:pt>
                <c:pt idx="21">
                  <c:v>2.4092354023757738</c:v>
                </c:pt>
                <c:pt idx="22">
                  <c:v>4.4587155963302756</c:v>
                </c:pt>
                <c:pt idx="23">
                  <c:v>2.728347826086956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06528"/>
        <c:axId val="780203248"/>
      </c:lineChart>
      <c:catAx>
        <c:axId val="8159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valAx>
        <c:axId val="780203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06528"/>
        <c:crosses val="max"/>
        <c:crossBetween val="between"/>
      </c:valAx>
      <c:catAx>
        <c:axId val="7802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80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Ibersol!$C$32</c:f>
              <c:strCache>
                <c:ptCount val="1"/>
                <c:pt idx="0">
                  <c:v>Margem EBITDA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D1-428D-90C7-368B6A20589F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1-428D-90C7-368B6A20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Ibersol!$F$32:$AC$32</c:f>
              <c:numCache>
                <c:formatCode>0.0%</c:formatCode>
                <c:ptCount val="24"/>
                <c:pt idx="0">
                  <c:v>0.15258108725445407</c:v>
                </c:pt>
                <c:pt idx="1">
                  <c:v>0.15646620542841938</c:v>
                </c:pt>
                <c:pt idx="2">
                  <c:v>0.15458503722467573</c:v>
                </c:pt>
                <c:pt idx="3">
                  <c:v>0.16014715590282205</c:v>
                </c:pt>
                <c:pt idx="4">
                  <c:v>0.14758311914434957</c:v>
                </c:pt>
                <c:pt idx="5">
                  <c:v>0.15026697177726925</c:v>
                </c:pt>
                <c:pt idx="6">
                  <c:v>0.16642754662840745</c:v>
                </c:pt>
                <c:pt idx="7">
                  <c:v>0.16924157303370788</c:v>
                </c:pt>
                <c:pt idx="8">
                  <c:v>0.16391509530610315</c:v>
                </c:pt>
                <c:pt idx="9">
                  <c:v>0.15725392327304433</c:v>
                </c:pt>
                <c:pt idx="10">
                  <c:v>0.16049708607222565</c:v>
                </c:pt>
                <c:pt idx="11">
                  <c:v>0.16092651871751484</c:v>
                </c:pt>
                <c:pt idx="12">
                  <c:v>0.14958524988662894</c:v>
                </c:pt>
                <c:pt idx="13">
                  <c:v>0.11758254486414989</c:v>
                </c:pt>
                <c:pt idx="14">
                  <c:v>9.8219283810140376E-2</c:v>
                </c:pt>
                <c:pt idx="15">
                  <c:v>0.10670790869968066</c:v>
                </c:pt>
                <c:pt idx="16">
                  <c:v>0.13393812549005732</c:v>
                </c:pt>
                <c:pt idx="17">
                  <c:v>0.15143138993125835</c:v>
                </c:pt>
                <c:pt idx="18">
                  <c:v>0.16890147712605763</c:v>
                </c:pt>
                <c:pt idx="19">
                  <c:v>0.10412346379690468</c:v>
                </c:pt>
                <c:pt idx="20">
                  <c:v>0.13260004782296808</c:v>
                </c:pt>
                <c:pt idx="21">
                  <c:v>0.24813184988375955</c:v>
                </c:pt>
                <c:pt idx="22">
                  <c:v>0.15157836184119039</c:v>
                </c:pt>
                <c:pt idx="23">
                  <c:v>0.22268326417704012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C-4E46-8DA3-87148D7007CC}"/>
            </c:ext>
          </c:extLst>
        </c:ser>
        <c:ser>
          <c:idx val="1"/>
          <c:order val="1"/>
          <c:tx>
            <c:strRef>
              <c:f>Ibersol!$C$33</c:f>
              <c:strCache>
                <c:ptCount val="1"/>
                <c:pt idx="0">
                  <c:v>Margem EBIT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D1-428D-90C7-368B6A20589F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1-428D-90C7-368B6A20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Ibersol!$F$33:$AC$33</c:f>
              <c:numCache>
                <c:formatCode>0.0%</c:formatCode>
                <c:ptCount val="24"/>
                <c:pt idx="0">
                  <c:v>8.5731688746764123E-2</c:v>
                </c:pt>
                <c:pt idx="1">
                  <c:v>8.4752527940393826E-2</c:v>
                </c:pt>
                <c:pt idx="2">
                  <c:v>8.3089224376073204E-2</c:v>
                </c:pt>
                <c:pt idx="3">
                  <c:v>8.3638738991162462E-2</c:v>
                </c:pt>
                <c:pt idx="4">
                  <c:v>7.8301310007462058E-2</c:v>
                </c:pt>
                <c:pt idx="5">
                  <c:v>8.4491502669717777E-2</c:v>
                </c:pt>
                <c:pt idx="6">
                  <c:v>0.10142631276901004</c:v>
                </c:pt>
                <c:pt idx="7">
                  <c:v>0.10247311095505618</c:v>
                </c:pt>
                <c:pt idx="8">
                  <c:v>0.1047531904761391</c:v>
                </c:pt>
                <c:pt idx="9">
                  <c:v>0.10656287357665482</c:v>
                </c:pt>
                <c:pt idx="10">
                  <c:v>0.10833983442065906</c:v>
                </c:pt>
                <c:pt idx="11">
                  <c:v>0.1053254930059631</c:v>
                </c:pt>
                <c:pt idx="12">
                  <c:v>9.8596352682765828E-2</c:v>
                </c:pt>
                <c:pt idx="13">
                  <c:v>5.2610452601759568E-2</c:v>
                </c:pt>
                <c:pt idx="14">
                  <c:v>3.2024667445731306E-2</c:v>
                </c:pt>
                <c:pt idx="15">
                  <c:v>3.7013772290658227E-2</c:v>
                </c:pt>
                <c:pt idx="16">
                  <c:v>5.7662351002733842E-2</c:v>
                </c:pt>
                <c:pt idx="17">
                  <c:v>8.4845025740719809E-2</c:v>
                </c:pt>
                <c:pt idx="18">
                  <c:v>0.10938620392944214</c:v>
                </c:pt>
                <c:pt idx="19">
                  <c:v>7.2820938202615093E-2</c:v>
                </c:pt>
                <c:pt idx="20">
                  <c:v>6.7930352368323815E-2</c:v>
                </c:pt>
                <c:pt idx="21">
                  <c:v>6.833277980737297E-2</c:v>
                </c:pt>
                <c:pt idx="22">
                  <c:v>-0.17709637046307886</c:v>
                </c:pt>
                <c:pt idx="23">
                  <c:v>4.1493775933609959E-3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3C-4E46-8DA3-87148D7007CC}"/>
            </c:ext>
          </c:extLst>
        </c:ser>
        <c:ser>
          <c:idx val="2"/>
          <c:order val="2"/>
          <c:tx>
            <c:strRef>
              <c:f>Ibersol!$C$35</c:f>
              <c:strCache>
                <c:ptCount val="1"/>
                <c:pt idx="0">
                  <c:v>Margem Líquida (%)</c:v>
                </c:pt>
              </c:strCache>
            </c:strRef>
          </c:tx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1-428D-90C7-368B6A20589F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1-428D-90C7-368B6A20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Ibersol!$F$35:$AC$35</c:f>
              <c:numCache>
                <c:formatCode>0.0%</c:formatCode>
                <c:ptCount val="24"/>
                <c:pt idx="0">
                  <c:v>5.8321912593269375E-2</c:v>
                </c:pt>
                <c:pt idx="1">
                  <c:v>6.1335816923895697E-2</c:v>
                </c:pt>
                <c:pt idx="2">
                  <c:v>6.5128623193383584E-2</c:v>
                </c:pt>
                <c:pt idx="3">
                  <c:v>5.6919607606177286E-2</c:v>
                </c:pt>
                <c:pt idx="4">
                  <c:v>6.7290183235220957E-2</c:v>
                </c:pt>
                <c:pt idx="5">
                  <c:v>4.6315499618611748E-2</c:v>
                </c:pt>
                <c:pt idx="6">
                  <c:v>5.9785114777618359E-2</c:v>
                </c:pt>
                <c:pt idx="7">
                  <c:v>6.4402823033707854E-2</c:v>
                </c:pt>
                <c:pt idx="8">
                  <c:v>6.4268868303472101E-2</c:v>
                </c:pt>
                <c:pt idx="9">
                  <c:v>6.2125006725153323E-2</c:v>
                </c:pt>
                <c:pt idx="10">
                  <c:v>6.2823145119699761E-2</c:v>
                </c:pt>
                <c:pt idx="11">
                  <c:v>6.9103740390462257E-2</c:v>
                </c:pt>
                <c:pt idx="12">
                  <c:v>6.744713704738009E-2</c:v>
                </c:pt>
                <c:pt idx="13">
                  <c:v>3.0910270973566918E-2</c:v>
                </c:pt>
                <c:pt idx="14">
                  <c:v>1.4437539718140867E-2</c:v>
                </c:pt>
                <c:pt idx="15">
                  <c:v>2.0518106481928887E-2</c:v>
                </c:pt>
                <c:pt idx="16">
                  <c:v>4.0899050702989284E-2</c:v>
                </c:pt>
                <c:pt idx="17">
                  <c:v>4.4748670364090193E-2</c:v>
                </c:pt>
                <c:pt idx="18">
                  <c:v>8.3859171088484147E-2</c:v>
                </c:pt>
                <c:pt idx="19">
                  <c:v>6.7341904782694112E-2</c:v>
                </c:pt>
                <c:pt idx="20">
                  <c:v>5.4257331043627594E-2</c:v>
                </c:pt>
                <c:pt idx="21">
                  <c:v>3.642892726668881E-2</c:v>
                </c:pt>
                <c:pt idx="22">
                  <c:v>-0.19190654985398417</c:v>
                </c:pt>
                <c:pt idx="23">
                  <c:v>-2.6279391424619641E-2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3C-4E46-8DA3-87148D70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614736"/>
        <c:axId val="713613752"/>
      </c:lineChart>
      <c:catAx>
        <c:axId val="71361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3752"/>
        <c:crosses val="autoZero"/>
        <c:auto val="1"/>
        <c:lblAlgn val="ctr"/>
        <c:lblOffset val="100"/>
        <c:noMultiLvlLbl val="0"/>
      </c:catAx>
      <c:valAx>
        <c:axId val="7136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61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Ibersol!$C$12</c:f>
              <c:strCache>
                <c:ptCount val="1"/>
                <c:pt idx="0">
                  <c:v>Resultado Líquido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Ibersol!$F$12:$AC$12</c:f>
              <c:numCache>
                <c:formatCode>#,##0</c:formatCode>
                <c:ptCount val="24"/>
                <c:pt idx="0">
                  <c:v>3.83</c:v>
                </c:pt>
                <c:pt idx="1">
                  <c:v>4.6100000000000003</c:v>
                </c:pt>
                <c:pt idx="2">
                  <c:v>5.356795</c:v>
                </c:pt>
                <c:pt idx="3">
                  <c:v>5.5054660000000002</c:v>
                </c:pt>
                <c:pt idx="4">
                  <c:v>8.115869</c:v>
                </c:pt>
                <c:pt idx="5">
                  <c:v>6.0719620000000001</c:v>
                </c:pt>
                <c:pt idx="6">
                  <c:v>8.3340449999999997</c:v>
                </c:pt>
                <c:pt idx="7">
                  <c:v>9.1709619999999994</c:v>
                </c:pt>
                <c:pt idx="8">
                  <c:v>10.9</c:v>
                </c:pt>
                <c:pt idx="9">
                  <c:v>12.8</c:v>
                </c:pt>
                <c:pt idx="10">
                  <c:v>13.7</c:v>
                </c:pt>
                <c:pt idx="11">
                  <c:v>14.6</c:v>
                </c:pt>
                <c:pt idx="12">
                  <c:v>14.563886</c:v>
                </c:pt>
                <c:pt idx="13">
                  <c:v>6.1251379999999997</c:v>
                </c:pt>
                <c:pt idx="14">
                  <c:v>2.513579</c:v>
                </c:pt>
                <c:pt idx="15">
                  <c:v>3.5764619999999998</c:v>
                </c:pt>
                <c:pt idx="16">
                  <c:v>7.7560880000000001</c:v>
                </c:pt>
                <c:pt idx="17">
                  <c:v>9.6630000000000003</c:v>
                </c:pt>
                <c:pt idx="18">
                  <c:v>23.39</c:v>
                </c:pt>
                <c:pt idx="19">
                  <c:v>30.85</c:v>
                </c:pt>
                <c:pt idx="20">
                  <c:v>24.96</c:v>
                </c:pt>
                <c:pt idx="21">
                  <c:v>17.55</c:v>
                </c:pt>
                <c:pt idx="22">
                  <c:v>-55.2</c:v>
                </c:pt>
                <c:pt idx="23">
                  <c:v>-9.5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954600"/>
        <c:axId val="666948368"/>
      </c:barChart>
      <c:lineChart>
        <c:grouping val="standard"/>
        <c:varyColors val="0"/>
        <c:ser>
          <c:idx val="1"/>
          <c:order val="1"/>
          <c:tx>
            <c:strRef>
              <c:f>Ibersol!$C$36</c:f>
              <c:strCache>
                <c:ptCount val="1"/>
                <c:pt idx="0">
                  <c:v>PER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</a:ln>
              <a:effectLst/>
            </c:spPr>
          </c:marker>
          <c:dLbls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EA-4D45-9C7B-78694C726FF3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Ibersol!$F$36:$AC$36</c:f>
              <c:numCache>
                <c:formatCode>0.0</c:formatCode>
                <c:ptCount val="24"/>
                <c:pt idx="0">
                  <c:v>32.843342036553523</c:v>
                </c:pt>
                <c:pt idx="1">
                  <c:v>13.757049891540129</c:v>
                </c:pt>
                <c:pt idx="2">
                  <c:v>15.658616766182016</c:v>
                </c:pt>
                <c:pt idx="3">
                  <c:v>13.601028505125631</c:v>
                </c:pt>
                <c:pt idx="4">
                  <c:v>8.6053631471873189</c:v>
                </c:pt>
                <c:pt idx="5">
                  <c:v>12.865693164746419</c:v>
                </c:pt>
                <c:pt idx="6">
                  <c:v>11.749396601530229</c:v>
                </c:pt>
                <c:pt idx="7">
                  <c:v>12.322949715635065</c:v>
                </c:pt>
                <c:pt idx="8">
                  <c:v>16.409174311926602</c:v>
                </c:pt>
                <c:pt idx="9">
                  <c:v>16.422656249999999</c:v>
                </c:pt>
                <c:pt idx="10">
                  <c:v>9.2255474452554758</c:v>
                </c:pt>
                <c:pt idx="11">
                  <c:v>11.572602739726028</c:v>
                </c:pt>
                <c:pt idx="12">
                  <c:v>10.19645443530662</c:v>
                </c:pt>
                <c:pt idx="13">
                  <c:v>12.176052196701528</c:v>
                </c:pt>
                <c:pt idx="14">
                  <c:v>29.198207018756925</c:v>
                </c:pt>
                <c:pt idx="15">
                  <c:v>31.740865693526171</c:v>
                </c:pt>
                <c:pt idx="16">
                  <c:v>16.082850014079263</c:v>
                </c:pt>
                <c:pt idx="17">
                  <c:v>16.904687985097794</c:v>
                </c:pt>
                <c:pt idx="18">
                  <c:v>11.538828004489096</c:v>
                </c:pt>
                <c:pt idx="19">
                  <c:v>10.638987153063209</c:v>
                </c:pt>
                <c:pt idx="20">
                  <c:v>10.128205128205128</c:v>
                </c:pt>
                <c:pt idx="21">
                  <c:v>16.410256410256409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42-4EEF-98E7-F987A60D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9144"/>
        <c:axId val="729238984"/>
      </c:lineChart>
      <c:catAx>
        <c:axId val="66695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48368"/>
        <c:crosses val="autoZero"/>
        <c:auto val="1"/>
        <c:lblAlgn val="ctr"/>
        <c:lblOffset val="100"/>
        <c:noMultiLvlLbl val="0"/>
      </c:catAx>
      <c:valAx>
        <c:axId val="6669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54600"/>
        <c:crosses val="autoZero"/>
        <c:crossBetween val="between"/>
      </c:valAx>
      <c:valAx>
        <c:axId val="729238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9144"/>
        <c:crosses val="max"/>
        <c:crossBetween val="between"/>
      </c:valAx>
      <c:catAx>
        <c:axId val="7292291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3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Ibersol!$C$38</c:f>
              <c:strCache>
                <c:ptCount val="1"/>
                <c:pt idx="0">
                  <c:v>ROE Operacional (%)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CA-49CC-AA5F-3F0B9B45E6B4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A-49CC-AA5F-3F0B9B45E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Ibersol!$F$38:$AC$38</c:f>
              <c:numCache>
                <c:formatCode>0%</c:formatCode>
                <c:ptCount val="24"/>
                <c:pt idx="0">
                  <c:v>0.29835718071012185</c:v>
                </c:pt>
                <c:pt idx="1">
                  <c:v>0.28311111111111109</c:v>
                </c:pt>
                <c:pt idx="2">
                  <c:v>0.25942685264344312</c:v>
                </c:pt>
                <c:pt idx="3">
                  <c:v>0.26316969147197328</c:v>
                </c:pt>
                <c:pt idx="4">
                  <c:v>0.26062868337037098</c:v>
                </c:pt>
                <c:pt idx="5">
                  <c:v>0.27009290411764764</c:v>
                </c:pt>
                <c:pt idx="6">
                  <c:v>0.32979038194617927</c:v>
                </c:pt>
                <c:pt idx="7">
                  <c:v>0.28785368161668823</c:v>
                </c:pt>
                <c:pt idx="8">
                  <c:v>0.29565813842991601</c:v>
                </c:pt>
                <c:pt idx="9">
                  <c:v>0.31480780261568331</c:v>
                </c:pt>
                <c:pt idx="10">
                  <c:v>0.28488665114669831</c:v>
                </c:pt>
                <c:pt idx="11">
                  <c:v>0.23344744588518429</c:v>
                </c:pt>
                <c:pt idx="12">
                  <c:v>0.19472642064680956</c:v>
                </c:pt>
                <c:pt idx="13">
                  <c:v>9.0776248857962774E-2</c:v>
                </c:pt>
                <c:pt idx="14">
                  <c:v>4.7817615694553166E-2</c:v>
                </c:pt>
                <c:pt idx="15">
                  <c:v>5.4016885585892363E-2</c:v>
                </c:pt>
                <c:pt idx="16">
                  <c:v>9.0149027205276178E-2</c:v>
                </c:pt>
                <c:pt idx="17">
                  <c:v>0.14104220169361045</c:v>
                </c:pt>
                <c:pt idx="18">
                  <c:v>0.20125329815303433</c:v>
                </c:pt>
                <c:pt idx="19">
                  <c:v>0.17754124534326768</c:v>
                </c:pt>
                <c:pt idx="20">
                  <c:v>0.15409270216962523</c:v>
                </c:pt>
                <c:pt idx="21">
                  <c:v>0.15390369331463302</c:v>
                </c:pt>
                <c:pt idx="22">
                  <c:v>-0.32591170825335891</c:v>
                </c:pt>
                <c:pt idx="23">
                  <c:v>1.0948905109489052E-2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8-4827-8086-4147BAD1ACB0}"/>
            </c:ext>
          </c:extLst>
        </c:ser>
        <c:ser>
          <c:idx val="1"/>
          <c:order val="1"/>
          <c:tx>
            <c:strRef>
              <c:f>Ibersol!$C$39</c:f>
              <c:strCache>
                <c:ptCount val="1"/>
                <c:pt idx="0">
                  <c:v>ROE (%)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CA-49CC-AA5F-3F0B9B45E6B4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A-49CC-AA5F-3F0B9B45E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Ibersol!$F$39:$AC$39</c:f>
              <c:numCache>
                <c:formatCode>0%</c:formatCode>
                <c:ptCount val="24"/>
                <c:pt idx="0">
                  <c:v>0.20296767355590883</c:v>
                </c:pt>
                <c:pt idx="1">
                  <c:v>0.2048888888888889</c:v>
                </c:pt>
                <c:pt idx="2">
                  <c:v>0.20334903664025228</c:v>
                </c:pt>
                <c:pt idx="3">
                  <c:v>0.17909781702957336</c:v>
                </c:pt>
                <c:pt idx="4">
                  <c:v>0.22397775795418126</c:v>
                </c:pt>
                <c:pt idx="5">
                  <c:v>0.14805616425773571</c:v>
                </c:pt>
                <c:pt idx="6">
                  <c:v>0.19439290751020136</c:v>
                </c:pt>
                <c:pt idx="7">
                  <c:v>0.18091174888690284</c:v>
                </c:pt>
                <c:pt idx="8">
                  <c:v>0.18139413105446389</c:v>
                </c:pt>
                <c:pt idx="9">
                  <c:v>0.18352955582191241</c:v>
                </c:pt>
                <c:pt idx="10">
                  <c:v>0.16519755197485775</c:v>
                </c:pt>
                <c:pt idx="11">
                  <c:v>0.15316416980220474</c:v>
                </c:pt>
                <c:pt idx="12">
                  <c:v>0.1332071544509259</c:v>
                </c:pt>
                <c:pt idx="13">
                  <c:v>5.3333858794245181E-2</c:v>
                </c:pt>
                <c:pt idx="14">
                  <c:v>2.1557404990599816E-2</c:v>
                </c:pt>
                <c:pt idx="15">
                  <c:v>2.9943562670947617E-2</c:v>
                </c:pt>
                <c:pt idx="16">
                  <c:v>6.3941368507831831E-2</c:v>
                </c:pt>
                <c:pt idx="17">
                  <c:v>7.4387990762124712E-2</c:v>
                </c:pt>
                <c:pt idx="18">
                  <c:v>0.15428759894459104</c:v>
                </c:pt>
                <c:pt idx="19">
                  <c:v>0.16418307610431079</c:v>
                </c:pt>
                <c:pt idx="20">
                  <c:v>0.12307692307692307</c:v>
                </c:pt>
                <c:pt idx="21">
                  <c:v>8.2047685834502102E-2</c:v>
                </c:pt>
                <c:pt idx="22">
                  <c:v>-0.3531669865642994</c:v>
                </c:pt>
                <c:pt idx="23">
                  <c:v>-6.9343065693430656E-2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18-4827-8086-4147BAD1A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814264"/>
        <c:axId val="667818528"/>
      </c:lineChart>
      <c:catAx>
        <c:axId val="66781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8528"/>
        <c:crosses val="autoZero"/>
        <c:auto val="1"/>
        <c:lblAlgn val="ctr"/>
        <c:lblOffset val="100"/>
        <c:noMultiLvlLbl val="0"/>
      </c:catAx>
      <c:valAx>
        <c:axId val="66781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Ibersol!$C$37</c:f>
              <c:strCache>
                <c:ptCount val="1"/>
                <c:pt idx="0">
                  <c:v>PBV</c:v>
                </c:pt>
              </c:strCache>
            </c:strRef>
          </c:tx>
          <c:spPr>
            <a:solidFill>
              <a:srgbClr val="92D050"/>
            </a:solidFill>
            <a:ln w="44450"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Ibersol!$F$3:$AC$3</c:f>
              <c:strCache>
                <c:ptCount val="24"/>
                <c:pt idx="0">
                  <c:v>98</c:v>
                </c:pt>
                <c:pt idx="1">
                  <c:v>99</c:v>
                </c:pt>
                <c:pt idx="2">
                  <c:v>2000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21*</c:v>
                </c:pt>
              </c:strCache>
            </c:strRef>
          </c:cat>
          <c:val>
            <c:numRef>
              <c:f>Ibersol!$F$37:$AC$37</c:f>
              <c:numCache>
                <c:formatCode>0.0</c:formatCode>
                <c:ptCount val="24"/>
                <c:pt idx="0">
                  <c:v>6.6661367249602543</c:v>
                </c:pt>
                <c:pt idx="1">
                  <c:v>2.8186666666666667</c:v>
                </c:pt>
                <c:pt idx="2">
                  <c:v>3.1841646345220158</c:v>
                </c:pt>
                <c:pt idx="3">
                  <c:v>2.4359145146250021</c:v>
                </c:pt>
                <c:pt idx="4">
                  <c:v>1.927409944088553</c:v>
                </c:pt>
                <c:pt idx="5">
                  <c:v>1.9048451804893234</c:v>
                </c:pt>
                <c:pt idx="6">
                  <c:v>2.2839993668619401</c:v>
                </c:pt>
                <c:pt idx="7">
                  <c:v>2.229366384500902</c:v>
                </c:pt>
                <c:pt idx="8">
                  <c:v>2.9765279156331568</c:v>
                </c:pt>
                <c:pt idx="9">
                  <c:v>3.0140428069784537</c:v>
                </c:pt>
                <c:pt idx="10">
                  <c:v>1.5240378535841075</c:v>
                </c:pt>
                <c:pt idx="11">
                  <c:v>1.7725080910808573</c:v>
                </c:pt>
                <c:pt idx="12">
                  <c:v>1.3582406808157175</c:v>
                </c:pt>
                <c:pt idx="13">
                  <c:v>0.64939584853023813</c:v>
                </c:pt>
                <c:pt idx="14">
                  <c:v>0.62943757370271713</c:v>
                </c:pt>
                <c:pt idx="15">
                  <c:v>0.95043460112423217</c:v>
                </c:pt>
                <c:pt idx="16">
                  <c:v>1.0283594394064304</c:v>
                </c:pt>
                <c:pt idx="17">
                  <c:v>1.2575057736720554</c:v>
                </c:pt>
                <c:pt idx="18">
                  <c:v>1.7802980674472295</c:v>
                </c:pt>
                <c:pt idx="19">
                  <c:v>1.7467416374241618</c:v>
                </c:pt>
                <c:pt idx="20">
                  <c:v>1.2465483234714003</c:v>
                </c:pt>
                <c:pt idx="21">
                  <c:v>1.3464235624123422</c:v>
                </c:pt>
                <c:pt idx="22">
                  <c:v>1.2437619961612283</c:v>
                </c:pt>
                <c:pt idx="23">
                  <c:v>1.6031532846715326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01512"/>
        <c:axId val="697104792"/>
      </c:barChart>
      <c:lineChart>
        <c:grouping val="standard"/>
        <c:varyColors val="0"/>
        <c:ser>
          <c:idx val="1"/>
          <c:order val="1"/>
          <c:tx>
            <c:strRef>
              <c:f>Ibersol!$C$41</c:f>
              <c:strCache>
                <c:ptCount val="1"/>
                <c:pt idx="0">
                  <c:v>Liquidez Geral</c:v>
                </c:pt>
              </c:strCache>
            </c:strRef>
          </c:tx>
          <c:spPr>
            <a:ln w="444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Ibersol!$F$41:$AC$41</c:f>
              <c:numCache>
                <c:formatCode>0.0</c:formatCode>
                <c:ptCount val="24"/>
                <c:pt idx="0">
                  <c:v>0.25196850393700787</c:v>
                </c:pt>
                <c:pt idx="1">
                  <c:v>0.35862844294547502</c:v>
                </c:pt>
                <c:pt idx="2">
                  <c:v>0.34377493726601321</c:v>
                </c:pt>
                <c:pt idx="3">
                  <c:v>0.37441173726990334</c:v>
                </c:pt>
                <c:pt idx="4">
                  <c:v>0.30721000189024505</c:v>
                </c:pt>
                <c:pt idx="5">
                  <c:v>0.52373407964162277</c:v>
                </c:pt>
                <c:pt idx="6">
                  <c:v>0.46091055631039674</c:v>
                </c:pt>
                <c:pt idx="7">
                  <c:v>0.42117960041484354</c:v>
                </c:pt>
                <c:pt idx="8">
                  <c:v>0.28623671935987915</c:v>
                </c:pt>
                <c:pt idx="9">
                  <c:v>0.32098494460991867</c:v>
                </c:pt>
                <c:pt idx="10">
                  <c:v>0.32372056923070436</c:v>
                </c:pt>
                <c:pt idx="11">
                  <c:v>0.45118359415958925</c:v>
                </c:pt>
                <c:pt idx="12">
                  <c:v>0.72306064815735804</c:v>
                </c:pt>
                <c:pt idx="13">
                  <c:v>0.72927300329924938</c:v>
                </c:pt>
                <c:pt idx="14">
                  <c:v>0.69714789078823691</c:v>
                </c:pt>
                <c:pt idx="15">
                  <c:v>0.5516841639422666</c:v>
                </c:pt>
                <c:pt idx="16">
                  <c:v>0.46568627450980388</c:v>
                </c:pt>
                <c:pt idx="17">
                  <c:v>0.47557471264367823</c:v>
                </c:pt>
                <c:pt idx="18">
                  <c:v>0.69468486970684051</c:v>
                </c:pt>
                <c:pt idx="19">
                  <c:v>0.64510198492462312</c:v>
                </c:pt>
                <c:pt idx="20">
                  <c:v>0.5723951285520974</c:v>
                </c:pt>
                <c:pt idx="21">
                  <c:v>0.49948240165631475</c:v>
                </c:pt>
                <c:pt idx="22">
                  <c:v>0.53329369797859694</c:v>
                </c:pt>
                <c:pt idx="23">
                  <c:v>0.58173326414115201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6-4CB4-B5E8-0DCA67C042C8}"/>
            </c:ext>
          </c:extLst>
        </c:ser>
        <c:ser>
          <c:idx val="2"/>
          <c:order val="2"/>
          <c:tx>
            <c:strRef>
              <c:f>Ibersol!$C$45</c:f>
              <c:strCache>
                <c:ptCount val="1"/>
                <c:pt idx="0">
                  <c:v>Debt to Equity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Ibersol!$F$45:$AC$45</c:f>
              <c:numCache>
                <c:formatCode>0.0</c:formatCode>
                <c:ptCount val="24"/>
                <c:pt idx="0">
                  <c:v>0.25061314255431899</c:v>
                </c:pt>
                <c:pt idx="1">
                  <c:v>0.24993502222222222</c:v>
                </c:pt>
                <c:pt idx="2">
                  <c:v>1.5817718949943891</c:v>
                </c:pt>
                <c:pt idx="3">
                  <c:v>1.7732791108131278</c:v>
                </c:pt>
                <c:pt idx="4">
                  <c:v>1.9433009754394321</c:v>
                </c:pt>
                <c:pt idx="5">
                  <c:v>1.7480888577602702</c:v>
                </c:pt>
                <c:pt idx="6">
                  <c:v>1.5857069596157096</c:v>
                </c:pt>
                <c:pt idx="7">
                  <c:v>1.2539800996251653</c:v>
                </c:pt>
                <c:pt idx="8">
                  <c:v>2.1891044300490727</c:v>
                </c:pt>
                <c:pt idx="9">
                  <c:v>1.9844195737999231</c:v>
                </c:pt>
                <c:pt idx="10">
                  <c:v>1.5621414044982525</c:v>
                </c:pt>
                <c:pt idx="11">
                  <c:v>1.3304907741929495</c:v>
                </c:pt>
                <c:pt idx="12">
                  <c:v>1.1239555414989586</c:v>
                </c:pt>
                <c:pt idx="13">
                  <c:v>0.9831004526214181</c:v>
                </c:pt>
                <c:pt idx="14">
                  <c:v>0.92095881750813813</c:v>
                </c:pt>
                <c:pt idx="15">
                  <c:v>0.82788484195458112</c:v>
                </c:pt>
                <c:pt idx="16">
                  <c:v>0.80956306677658707</c:v>
                </c:pt>
                <c:pt idx="17">
                  <c:v>0.85758275596612776</c:v>
                </c:pt>
                <c:pt idx="18">
                  <c:v>1.778364116094987</c:v>
                </c:pt>
                <c:pt idx="19">
                  <c:v>1.28738690792975</c:v>
                </c:pt>
                <c:pt idx="20">
                  <c:v>1.1903353057199211</c:v>
                </c:pt>
                <c:pt idx="21">
                  <c:v>2.6339410939691441</c:v>
                </c:pt>
                <c:pt idx="22">
                  <c:v>3.6628278950735762</c:v>
                </c:pt>
                <c:pt idx="23">
                  <c:v>4.2751824817518251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E6-4CB4-B5E8-0DCA67C0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222584"/>
        <c:axId val="729218320"/>
      </c:lineChart>
      <c:catAx>
        <c:axId val="6971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4792"/>
        <c:crosses val="autoZero"/>
        <c:auto val="1"/>
        <c:lblAlgn val="ctr"/>
        <c:lblOffset val="100"/>
        <c:noMultiLvlLbl val="0"/>
      </c:catAx>
      <c:valAx>
        <c:axId val="69710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101512"/>
        <c:crosses val="autoZero"/>
        <c:crossBetween val="between"/>
      </c:valAx>
      <c:valAx>
        <c:axId val="7292183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22584"/>
        <c:crosses val="max"/>
        <c:crossBetween val="between"/>
      </c:valAx>
      <c:catAx>
        <c:axId val="7292225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921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66958296879566E-2"/>
          <c:y val="0.14412502872624794"/>
          <c:w val="0.91323518956292993"/>
          <c:h val="0.750335145114734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Impresa!$C$26</c:f>
              <c:strCache>
                <c:ptCount val="1"/>
                <c:pt idx="0">
                  <c:v>Valor de Mercado (M€)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Impresa!$D$26:$Z$26</c:f>
              <c:numCache>
                <c:formatCode>#,##0</c:formatCode>
                <c:ptCount val="23"/>
                <c:pt idx="0">
                  <c:v>833.76</c:v>
                </c:pt>
                <c:pt idx="1">
                  <c:v>432</c:v>
                </c:pt>
                <c:pt idx="2">
                  <c:v>146.88</c:v>
                </c:pt>
                <c:pt idx="3">
                  <c:v>128.16</c:v>
                </c:pt>
                <c:pt idx="4">
                  <c:v>294</c:v>
                </c:pt>
                <c:pt idx="5">
                  <c:v>487.2</c:v>
                </c:pt>
                <c:pt idx="6">
                  <c:v>420</c:v>
                </c:pt>
                <c:pt idx="7">
                  <c:v>393.12</c:v>
                </c:pt>
                <c:pt idx="8">
                  <c:v>346.08</c:v>
                </c:pt>
                <c:pt idx="9">
                  <c:v>141.12</c:v>
                </c:pt>
                <c:pt idx="10">
                  <c:v>300.72000000000003</c:v>
                </c:pt>
                <c:pt idx="11">
                  <c:v>235.2</c:v>
                </c:pt>
                <c:pt idx="12">
                  <c:v>78.959999999999994</c:v>
                </c:pt>
                <c:pt idx="13">
                  <c:v>52.08</c:v>
                </c:pt>
                <c:pt idx="14">
                  <c:v>183.12</c:v>
                </c:pt>
                <c:pt idx="15">
                  <c:v>132.72</c:v>
                </c:pt>
                <c:pt idx="16">
                  <c:v>78.959999999999994</c:v>
                </c:pt>
                <c:pt idx="17">
                  <c:v>31.92</c:v>
                </c:pt>
                <c:pt idx="18">
                  <c:v>57.456000000000003</c:v>
                </c:pt>
                <c:pt idx="19">
                  <c:v>22.915199999999999</c:v>
                </c:pt>
                <c:pt idx="20">
                  <c:v>35.28</c:v>
                </c:pt>
                <c:pt idx="21">
                  <c:v>24.023999999999997</c:v>
                </c:pt>
                <c:pt idx="22">
                  <c:v>27.384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5908968"/>
        <c:axId val="815906016"/>
      </c:barChart>
      <c:lineChart>
        <c:grouping val="standard"/>
        <c:varyColors val="0"/>
        <c:ser>
          <c:idx val="0"/>
          <c:order val="0"/>
          <c:tx>
            <c:strRef>
              <c:f>Impresa!$C$5</c:f>
              <c:strCache>
                <c:ptCount val="1"/>
                <c:pt idx="0">
                  <c:v>Nº de Ações (milhões)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12700">
                <a:solidFill>
                  <a:srgbClr val="00B0F0"/>
                </a:solidFill>
                <a:round/>
              </a:ln>
              <a:effectLst/>
            </c:spPr>
          </c:marker>
          <c:dLbls>
            <c:dLbl>
              <c:idx val="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9-4B9F-AC16-5DBE015F5702}"/>
                </c:ext>
              </c:extLst>
            </c:dLbl>
            <c:dLbl>
              <c:idx val="2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9-4B9F-AC16-5DBE015F5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Impresa!$D$3:$Z$3</c:f>
              <c:strCache>
                <c:ptCount val="23"/>
                <c:pt idx="0">
                  <c:v>99</c:v>
                </c:pt>
                <c:pt idx="1">
                  <c:v>2000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21*</c:v>
                </c:pt>
              </c:strCache>
            </c:strRef>
          </c:cat>
          <c:val>
            <c:numRef>
              <c:f>Impresa!$D$5:$Z$5</c:f>
              <c:numCache>
                <c:formatCode>#,##0</c:formatCode>
                <c:ptCount val="23"/>
                <c:pt idx="0">
                  <c:v>144</c:v>
                </c:pt>
                <c:pt idx="1">
                  <c:v>144</c:v>
                </c:pt>
                <c:pt idx="2">
                  <c:v>144</c:v>
                </c:pt>
                <c:pt idx="3">
                  <c:v>144</c:v>
                </c:pt>
                <c:pt idx="4">
                  <c:v>168</c:v>
                </c:pt>
                <c:pt idx="5">
                  <c:v>168</c:v>
                </c:pt>
                <c:pt idx="6">
                  <c:v>168</c:v>
                </c:pt>
                <c:pt idx="7">
                  <c:v>168</c:v>
                </c:pt>
                <c:pt idx="8">
                  <c:v>168</c:v>
                </c:pt>
                <c:pt idx="9">
                  <c:v>168</c:v>
                </c:pt>
                <c:pt idx="10">
                  <c:v>168</c:v>
                </c:pt>
                <c:pt idx="11">
                  <c:v>168</c:v>
                </c:pt>
                <c:pt idx="12">
                  <c:v>168</c:v>
                </c:pt>
                <c:pt idx="13">
                  <c:v>168</c:v>
                </c:pt>
                <c:pt idx="14">
                  <c:v>168</c:v>
                </c:pt>
                <c:pt idx="15">
                  <c:v>168</c:v>
                </c:pt>
                <c:pt idx="16">
                  <c:v>168</c:v>
                </c:pt>
                <c:pt idx="17">
                  <c:v>168</c:v>
                </c:pt>
                <c:pt idx="18">
                  <c:v>168</c:v>
                </c:pt>
                <c:pt idx="19">
                  <c:v>168</c:v>
                </c:pt>
                <c:pt idx="20">
                  <c:v>168</c:v>
                </c:pt>
                <c:pt idx="21">
                  <c:v>168</c:v>
                </c:pt>
                <c:pt idx="22">
                  <c:v>168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95-4455-B9D4-66E14CD40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5908968"/>
        <c:axId val="815906016"/>
      </c:lineChart>
      <c:catAx>
        <c:axId val="81590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6016"/>
        <c:crosses val="autoZero"/>
        <c:auto val="1"/>
        <c:lblAlgn val="ctr"/>
        <c:lblOffset val="100"/>
        <c:noMultiLvlLbl val="0"/>
      </c:catAx>
      <c:valAx>
        <c:axId val="815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590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7" Type="http://schemas.openxmlformats.org/officeDocument/2006/relationships/chart" Target="../charts/chart204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Relationship Id="rId6" Type="http://schemas.openxmlformats.org/officeDocument/2006/relationships/chart" Target="../charts/chart203.xml"/><Relationship Id="rId5" Type="http://schemas.openxmlformats.org/officeDocument/2006/relationships/chart" Target="../charts/chart202.xml"/><Relationship Id="rId4" Type="http://schemas.openxmlformats.org/officeDocument/2006/relationships/chart" Target="../charts/chart20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7" Type="http://schemas.openxmlformats.org/officeDocument/2006/relationships/chart" Target="../charts/chart211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Relationship Id="rId6" Type="http://schemas.openxmlformats.org/officeDocument/2006/relationships/chart" Target="../charts/chart210.xml"/><Relationship Id="rId5" Type="http://schemas.openxmlformats.org/officeDocument/2006/relationships/chart" Target="../charts/chart209.xml"/><Relationship Id="rId4" Type="http://schemas.openxmlformats.org/officeDocument/2006/relationships/chart" Target="../charts/chart20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4.xml"/><Relationship Id="rId7" Type="http://schemas.openxmlformats.org/officeDocument/2006/relationships/chart" Target="../charts/chart218.xml"/><Relationship Id="rId2" Type="http://schemas.openxmlformats.org/officeDocument/2006/relationships/chart" Target="../charts/chart213.xml"/><Relationship Id="rId1" Type="http://schemas.openxmlformats.org/officeDocument/2006/relationships/chart" Target="../charts/chart212.xml"/><Relationship Id="rId6" Type="http://schemas.openxmlformats.org/officeDocument/2006/relationships/chart" Target="../charts/chart217.xml"/><Relationship Id="rId5" Type="http://schemas.openxmlformats.org/officeDocument/2006/relationships/chart" Target="../charts/chart216.xml"/><Relationship Id="rId4" Type="http://schemas.openxmlformats.org/officeDocument/2006/relationships/chart" Target="../charts/chart215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7" Type="http://schemas.openxmlformats.org/officeDocument/2006/relationships/chart" Target="../charts/chart225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Relationship Id="rId6" Type="http://schemas.openxmlformats.org/officeDocument/2006/relationships/chart" Target="../charts/chart224.xml"/><Relationship Id="rId5" Type="http://schemas.openxmlformats.org/officeDocument/2006/relationships/chart" Target="../charts/chart223.xml"/><Relationship Id="rId4" Type="http://schemas.openxmlformats.org/officeDocument/2006/relationships/chart" Target="../charts/chart222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7" Type="http://schemas.openxmlformats.org/officeDocument/2006/relationships/chart" Target="../charts/chart232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Relationship Id="rId6" Type="http://schemas.openxmlformats.org/officeDocument/2006/relationships/chart" Target="../charts/chart231.xml"/><Relationship Id="rId5" Type="http://schemas.openxmlformats.org/officeDocument/2006/relationships/chart" Target="../charts/chart230.xml"/><Relationship Id="rId4" Type="http://schemas.openxmlformats.org/officeDocument/2006/relationships/chart" Target="../charts/chart22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5.xml"/><Relationship Id="rId7" Type="http://schemas.openxmlformats.org/officeDocument/2006/relationships/chart" Target="../charts/chart239.xml"/><Relationship Id="rId2" Type="http://schemas.openxmlformats.org/officeDocument/2006/relationships/chart" Target="../charts/chart234.xml"/><Relationship Id="rId1" Type="http://schemas.openxmlformats.org/officeDocument/2006/relationships/chart" Target="../charts/chart233.xml"/><Relationship Id="rId6" Type="http://schemas.openxmlformats.org/officeDocument/2006/relationships/chart" Target="../charts/chart238.xml"/><Relationship Id="rId5" Type="http://schemas.openxmlformats.org/officeDocument/2006/relationships/chart" Target="../charts/chart237.xml"/><Relationship Id="rId4" Type="http://schemas.openxmlformats.org/officeDocument/2006/relationships/chart" Target="../charts/chart236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7" Type="http://schemas.openxmlformats.org/officeDocument/2006/relationships/chart" Target="../charts/chart246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Relationship Id="rId6" Type="http://schemas.openxmlformats.org/officeDocument/2006/relationships/chart" Target="../charts/chart245.xml"/><Relationship Id="rId5" Type="http://schemas.openxmlformats.org/officeDocument/2006/relationships/chart" Target="../charts/chart244.xml"/><Relationship Id="rId4" Type="http://schemas.openxmlformats.org/officeDocument/2006/relationships/chart" Target="../charts/chart24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7" Type="http://schemas.openxmlformats.org/officeDocument/2006/relationships/chart" Target="../charts/chart253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Relationship Id="rId6" Type="http://schemas.openxmlformats.org/officeDocument/2006/relationships/chart" Target="../charts/chart252.xml"/><Relationship Id="rId5" Type="http://schemas.openxmlformats.org/officeDocument/2006/relationships/chart" Target="../charts/chart251.xml"/><Relationship Id="rId4" Type="http://schemas.openxmlformats.org/officeDocument/2006/relationships/chart" Target="../charts/chart25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</xdr:colOff>
      <xdr:row>47</xdr:row>
      <xdr:rowOff>22860</xdr:rowOff>
    </xdr:from>
    <xdr:to>
      <xdr:col>14</xdr:col>
      <xdr:colOff>30480</xdr:colOff>
      <xdr:row>65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22860</xdr:rowOff>
    </xdr:from>
    <xdr:to>
      <xdr:col>13</xdr:col>
      <xdr:colOff>667800</xdr:colOff>
      <xdr:row>85</xdr:row>
      <xdr:rowOff>148140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15240</xdr:colOff>
      <xdr:row>87</xdr:row>
      <xdr:rowOff>7620</xdr:rowOff>
    </xdr:from>
    <xdr:to>
      <xdr:col>13</xdr:col>
      <xdr:colOff>683040</xdr:colOff>
      <xdr:row>106</xdr:row>
      <xdr:rowOff>132900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30480</xdr:colOff>
      <xdr:row>108</xdr:row>
      <xdr:rowOff>15240</xdr:rowOff>
    </xdr:from>
    <xdr:to>
      <xdr:col>14</xdr:col>
      <xdr:colOff>12480</xdr:colOff>
      <xdr:row>127</xdr:row>
      <xdr:rowOff>140520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22860</xdr:colOff>
      <xdr:row>129</xdr:row>
      <xdr:rowOff>0</xdr:rowOff>
    </xdr:from>
    <xdr:to>
      <xdr:col>14</xdr:col>
      <xdr:colOff>4860</xdr:colOff>
      <xdr:row>148</xdr:row>
      <xdr:rowOff>125280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150</xdr:row>
      <xdr:rowOff>30480</xdr:rowOff>
    </xdr:from>
    <xdr:to>
      <xdr:col>13</xdr:col>
      <xdr:colOff>667800</xdr:colOff>
      <xdr:row>169</xdr:row>
      <xdr:rowOff>155760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172</xdr:row>
      <xdr:rowOff>0</xdr:rowOff>
    </xdr:from>
    <xdr:to>
      <xdr:col>13</xdr:col>
      <xdr:colOff>667800</xdr:colOff>
      <xdr:row>191</xdr:row>
      <xdr:rowOff>125280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</xdr:colOff>
      <xdr:row>48</xdr:row>
      <xdr:rowOff>0</xdr:rowOff>
    </xdr:from>
    <xdr:to>
      <xdr:col>23</xdr:col>
      <xdr:colOff>557310</xdr:colOff>
      <xdr:row>67</xdr:row>
      <xdr:rowOff>125280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3810</xdr:colOff>
      <xdr:row>69</xdr:row>
      <xdr:rowOff>34290</xdr:rowOff>
    </xdr:from>
    <xdr:to>
      <xdr:col>23</xdr:col>
      <xdr:colOff>557310</xdr:colOff>
      <xdr:row>88</xdr:row>
      <xdr:rowOff>159570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560070</xdr:colOff>
      <xdr:row>89</xdr:row>
      <xdr:rowOff>179070</xdr:rowOff>
    </xdr:from>
    <xdr:to>
      <xdr:col>23</xdr:col>
      <xdr:colOff>542070</xdr:colOff>
      <xdr:row>109</xdr:row>
      <xdr:rowOff>121470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560070</xdr:colOff>
      <xdr:row>111</xdr:row>
      <xdr:rowOff>11430</xdr:rowOff>
    </xdr:from>
    <xdr:to>
      <xdr:col>23</xdr:col>
      <xdr:colOff>542070</xdr:colOff>
      <xdr:row>130</xdr:row>
      <xdr:rowOff>136710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560070</xdr:colOff>
      <xdr:row>132</xdr:row>
      <xdr:rowOff>3810</xdr:rowOff>
    </xdr:from>
    <xdr:to>
      <xdr:col>23</xdr:col>
      <xdr:colOff>542070</xdr:colOff>
      <xdr:row>151</xdr:row>
      <xdr:rowOff>129090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19050</xdr:colOff>
      <xdr:row>152</xdr:row>
      <xdr:rowOff>179070</xdr:rowOff>
    </xdr:from>
    <xdr:to>
      <xdr:col>24</xdr:col>
      <xdr:colOff>1050</xdr:colOff>
      <xdr:row>172</xdr:row>
      <xdr:rowOff>121470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11430</xdr:colOff>
      <xdr:row>174</xdr:row>
      <xdr:rowOff>3810</xdr:rowOff>
    </xdr:from>
    <xdr:to>
      <xdr:col>23</xdr:col>
      <xdr:colOff>564930</xdr:colOff>
      <xdr:row>193</xdr:row>
      <xdr:rowOff>129090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</xdr:colOff>
      <xdr:row>48</xdr:row>
      <xdr:rowOff>3810</xdr:rowOff>
    </xdr:from>
    <xdr:to>
      <xdr:col>15</xdr:col>
      <xdr:colOff>374430</xdr:colOff>
      <xdr:row>67</xdr:row>
      <xdr:rowOff>129090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621030</xdr:colOff>
      <xdr:row>68</xdr:row>
      <xdr:rowOff>179070</xdr:rowOff>
    </xdr:from>
    <xdr:to>
      <xdr:col>15</xdr:col>
      <xdr:colOff>359190</xdr:colOff>
      <xdr:row>88</xdr:row>
      <xdr:rowOff>121470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613410</xdr:colOff>
      <xdr:row>89</xdr:row>
      <xdr:rowOff>163830</xdr:rowOff>
    </xdr:from>
    <xdr:to>
      <xdr:col>15</xdr:col>
      <xdr:colOff>351570</xdr:colOff>
      <xdr:row>109</xdr:row>
      <xdr:rowOff>106230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11430</xdr:colOff>
      <xdr:row>111</xdr:row>
      <xdr:rowOff>11430</xdr:rowOff>
    </xdr:from>
    <xdr:to>
      <xdr:col>15</xdr:col>
      <xdr:colOff>374430</xdr:colOff>
      <xdr:row>130</xdr:row>
      <xdr:rowOff>136710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11430</xdr:colOff>
      <xdr:row>132</xdr:row>
      <xdr:rowOff>11430</xdr:rowOff>
    </xdr:from>
    <xdr:to>
      <xdr:col>15</xdr:col>
      <xdr:colOff>374430</xdr:colOff>
      <xdr:row>151</xdr:row>
      <xdr:rowOff>136710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613410</xdr:colOff>
      <xdr:row>152</xdr:row>
      <xdr:rowOff>163830</xdr:rowOff>
    </xdr:from>
    <xdr:to>
      <xdr:col>15</xdr:col>
      <xdr:colOff>351570</xdr:colOff>
      <xdr:row>172</xdr:row>
      <xdr:rowOff>106230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621030</xdr:colOff>
      <xdr:row>173</xdr:row>
      <xdr:rowOff>179070</xdr:rowOff>
    </xdr:from>
    <xdr:to>
      <xdr:col>15</xdr:col>
      <xdr:colOff>359190</xdr:colOff>
      <xdr:row>193</xdr:row>
      <xdr:rowOff>121470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560070</xdr:colOff>
      <xdr:row>46</xdr:row>
      <xdr:rowOff>179070</xdr:rowOff>
    </xdr:from>
    <xdr:to>
      <xdr:col>21</xdr:col>
      <xdr:colOff>542070</xdr:colOff>
      <xdr:row>66</xdr:row>
      <xdr:rowOff>121470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567690</xdr:colOff>
      <xdr:row>67</xdr:row>
      <xdr:rowOff>163830</xdr:rowOff>
    </xdr:from>
    <xdr:to>
      <xdr:col>21</xdr:col>
      <xdr:colOff>549690</xdr:colOff>
      <xdr:row>87</xdr:row>
      <xdr:rowOff>106230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567690</xdr:colOff>
      <xdr:row>89</xdr:row>
      <xdr:rowOff>11430</xdr:rowOff>
    </xdr:from>
    <xdr:to>
      <xdr:col>21</xdr:col>
      <xdr:colOff>549690</xdr:colOff>
      <xdr:row>108</xdr:row>
      <xdr:rowOff>136710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567690</xdr:colOff>
      <xdr:row>109</xdr:row>
      <xdr:rowOff>179070</xdr:rowOff>
    </xdr:from>
    <xdr:to>
      <xdr:col>21</xdr:col>
      <xdr:colOff>549690</xdr:colOff>
      <xdr:row>129</xdr:row>
      <xdr:rowOff>121470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11430</xdr:colOff>
      <xdr:row>130</xdr:row>
      <xdr:rowOff>163830</xdr:rowOff>
    </xdr:from>
    <xdr:to>
      <xdr:col>21</xdr:col>
      <xdr:colOff>564930</xdr:colOff>
      <xdr:row>150</xdr:row>
      <xdr:rowOff>106230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11430</xdr:colOff>
      <xdr:row>152</xdr:row>
      <xdr:rowOff>34290</xdr:rowOff>
    </xdr:from>
    <xdr:to>
      <xdr:col>21</xdr:col>
      <xdr:colOff>564930</xdr:colOff>
      <xdr:row>171</xdr:row>
      <xdr:rowOff>159570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3810</xdr:colOff>
      <xdr:row>172</xdr:row>
      <xdr:rowOff>171450</xdr:rowOff>
    </xdr:from>
    <xdr:to>
      <xdr:col>21</xdr:col>
      <xdr:colOff>557310</xdr:colOff>
      <xdr:row>192</xdr:row>
      <xdr:rowOff>113850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567690</xdr:colOff>
      <xdr:row>46</xdr:row>
      <xdr:rowOff>171450</xdr:rowOff>
    </xdr:from>
    <xdr:to>
      <xdr:col>15</xdr:col>
      <xdr:colOff>549690</xdr:colOff>
      <xdr:row>66</xdr:row>
      <xdr:rowOff>113850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</xdr:colOff>
      <xdr:row>68</xdr:row>
      <xdr:rowOff>3810</xdr:rowOff>
    </xdr:from>
    <xdr:to>
      <xdr:col>15</xdr:col>
      <xdr:colOff>557310</xdr:colOff>
      <xdr:row>87</xdr:row>
      <xdr:rowOff>129090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560070</xdr:colOff>
      <xdr:row>89</xdr:row>
      <xdr:rowOff>19050</xdr:rowOff>
    </xdr:from>
    <xdr:to>
      <xdr:col>15</xdr:col>
      <xdr:colOff>542070</xdr:colOff>
      <xdr:row>108</xdr:row>
      <xdr:rowOff>144330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3810</xdr:colOff>
      <xdr:row>109</xdr:row>
      <xdr:rowOff>179070</xdr:rowOff>
    </xdr:from>
    <xdr:to>
      <xdr:col>15</xdr:col>
      <xdr:colOff>557310</xdr:colOff>
      <xdr:row>129</xdr:row>
      <xdr:rowOff>121470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11430</xdr:colOff>
      <xdr:row>130</xdr:row>
      <xdr:rowOff>179070</xdr:rowOff>
    </xdr:from>
    <xdr:to>
      <xdr:col>15</xdr:col>
      <xdr:colOff>564930</xdr:colOff>
      <xdr:row>150</xdr:row>
      <xdr:rowOff>121470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3810</xdr:colOff>
      <xdr:row>151</xdr:row>
      <xdr:rowOff>171450</xdr:rowOff>
    </xdr:from>
    <xdr:to>
      <xdr:col>15</xdr:col>
      <xdr:colOff>557310</xdr:colOff>
      <xdr:row>171</xdr:row>
      <xdr:rowOff>113850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567690</xdr:colOff>
      <xdr:row>172</xdr:row>
      <xdr:rowOff>171450</xdr:rowOff>
    </xdr:from>
    <xdr:to>
      <xdr:col>15</xdr:col>
      <xdr:colOff>549690</xdr:colOff>
      <xdr:row>192</xdr:row>
      <xdr:rowOff>113850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560070</xdr:colOff>
      <xdr:row>46</xdr:row>
      <xdr:rowOff>179070</xdr:rowOff>
    </xdr:from>
    <xdr:to>
      <xdr:col>22</xdr:col>
      <xdr:colOff>542070</xdr:colOff>
      <xdr:row>66</xdr:row>
      <xdr:rowOff>121470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</xdr:colOff>
      <xdr:row>67</xdr:row>
      <xdr:rowOff>179070</xdr:rowOff>
    </xdr:from>
    <xdr:to>
      <xdr:col>22</xdr:col>
      <xdr:colOff>564930</xdr:colOff>
      <xdr:row>87</xdr:row>
      <xdr:rowOff>121470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</xdr:colOff>
      <xdr:row>88</xdr:row>
      <xdr:rowOff>179070</xdr:rowOff>
    </xdr:from>
    <xdr:to>
      <xdr:col>22</xdr:col>
      <xdr:colOff>564930</xdr:colOff>
      <xdr:row>108</xdr:row>
      <xdr:rowOff>121470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537210</xdr:colOff>
      <xdr:row>109</xdr:row>
      <xdr:rowOff>179070</xdr:rowOff>
    </xdr:from>
    <xdr:to>
      <xdr:col>22</xdr:col>
      <xdr:colOff>519210</xdr:colOff>
      <xdr:row>129</xdr:row>
      <xdr:rowOff>121470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560070</xdr:colOff>
      <xdr:row>131</xdr:row>
      <xdr:rowOff>19050</xdr:rowOff>
    </xdr:from>
    <xdr:to>
      <xdr:col>22</xdr:col>
      <xdr:colOff>542070</xdr:colOff>
      <xdr:row>150</xdr:row>
      <xdr:rowOff>144330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11430</xdr:colOff>
      <xdr:row>152</xdr:row>
      <xdr:rowOff>3810</xdr:rowOff>
    </xdr:from>
    <xdr:to>
      <xdr:col>22</xdr:col>
      <xdr:colOff>564930</xdr:colOff>
      <xdr:row>171</xdr:row>
      <xdr:rowOff>129090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11430</xdr:colOff>
      <xdr:row>173</xdr:row>
      <xdr:rowOff>3810</xdr:rowOff>
    </xdr:from>
    <xdr:to>
      <xdr:col>22</xdr:col>
      <xdr:colOff>564930</xdr:colOff>
      <xdr:row>192</xdr:row>
      <xdr:rowOff>129090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567690</xdr:colOff>
      <xdr:row>46</xdr:row>
      <xdr:rowOff>175260</xdr:rowOff>
    </xdr:from>
    <xdr:to>
      <xdr:col>19</xdr:col>
      <xdr:colOff>549690</xdr:colOff>
      <xdr:row>66</xdr:row>
      <xdr:rowOff>117660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560070</xdr:colOff>
      <xdr:row>67</xdr:row>
      <xdr:rowOff>175260</xdr:rowOff>
    </xdr:from>
    <xdr:to>
      <xdr:col>19</xdr:col>
      <xdr:colOff>542070</xdr:colOff>
      <xdr:row>87</xdr:row>
      <xdr:rowOff>117660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3810</xdr:colOff>
      <xdr:row>89</xdr:row>
      <xdr:rowOff>0</xdr:rowOff>
    </xdr:from>
    <xdr:to>
      <xdr:col>19</xdr:col>
      <xdr:colOff>557310</xdr:colOff>
      <xdr:row>108</xdr:row>
      <xdr:rowOff>125280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3810</xdr:colOff>
      <xdr:row>110</xdr:row>
      <xdr:rowOff>0</xdr:rowOff>
    </xdr:from>
    <xdr:to>
      <xdr:col>19</xdr:col>
      <xdr:colOff>557310</xdr:colOff>
      <xdr:row>129</xdr:row>
      <xdr:rowOff>125280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3810</xdr:colOff>
      <xdr:row>131</xdr:row>
      <xdr:rowOff>7620</xdr:rowOff>
    </xdr:from>
    <xdr:to>
      <xdr:col>19</xdr:col>
      <xdr:colOff>557310</xdr:colOff>
      <xdr:row>150</xdr:row>
      <xdr:rowOff>132900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3810</xdr:colOff>
      <xdr:row>151</xdr:row>
      <xdr:rowOff>175260</xdr:rowOff>
    </xdr:from>
    <xdr:to>
      <xdr:col>19</xdr:col>
      <xdr:colOff>557310</xdr:colOff>
      <xdr:row>171</xdr:row>
      <xdr:rowOff>117660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11430</xdr:colOff>
      <xdr:row>173</xdr:row>
      <xdr:rowOff>7620</xdr:rowOff>
    </xdr:from>
    <xdr:to>
      <xdr:col>19</xdr:col>
      <xdr:colOff>564930</xdr:colOff>
      <xdr:row>192</xdr:row>
      <xdr:rowOff>132900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560070</xdr:colOff>
      <xdr:row>47</xdr:row>
      <xdr:rowOff>7620</xdr:rowOff>
    </xdr:from>
    <xdr:to>
      <xdr:col>23</xdr:col>
      <xdr:colOff>542070</xdr:colOff>
      <xdr:row>66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67</xdr:row>
      <xdr:rowOff>175260</xdr:rowOff>
    </xdr:from>
    <xdr:to>
      <xdr:col>24</xdr:col>
      <xdr:colOff>1050</xdr:colOff>
      <xdr:row>87</xdr:row>
      <xdr:rowOff>117660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567690</xdr:colOff>
      <xdr:row>88</xdr:row>
      <xdr:rowOff>175260</xdr:rowOff>
    </xdr:from>
    <xdr:to>
      <xdr:col>23</xdr:col>
      <xdr:colOff>549690</xdr:colOff>
      <xdr:row>108</xdr:row>
      <xdr:rowOff>117660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11430</xdr:colOff>
      <xdr:row>109</xdr:row>
      <xdr:rowOff>167640</xdr:rowOff>
    </xdr:from>
    <xdr:to>
      <xdr:col>23</xdr:col>
      <xdr:colOff>564930</xdr:colOff>
      <xdr:row>129</xdr:row>
      <xdr:rowOff>110040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560070</xdr:colOff>
      <xdr:row>131</xdr:row>
      <xdr:rowOff>22860</xdr:rowOff>
    </xdr:from>
    <xdr:to>
      <xdr:col>23</xdr:col>
      <xdr:colOff>542070</xdr:colOff>
      <xdr:row>150</xdr:row>
      <xdr:rowOff>148140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560070</xdr:colOff>
      <xdr:row>151</xdr:row>
      <xdr:rowOff>175260</xdr:rowOff>
    </xdr:from>
    <xdr:to>
      <xdr:col>23</xdr:col>
      <xdr:colOff>542070</xdr:colOff>
      <xdr:row>171</xdr:row>
      <xdr:rowOff>117660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11430</xdr:colOff>
      <xdr:row>173</xdr:row>
      <xdr:rowOff>7620</xdr:rowOff>
    </xdr:from>
    <xdr:to>
      <xdr:col>23</xdr:col>
      <xdr:colOff>564930</xdr:colOff>
      <xdr:row>192</xdr:row>
      <xdr:rowOff>132900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</xdr:colOff>
      <xdr:row>47</xdr:row>
      <xdr:rowOff>0</xdr:rowOff>
    </xdr:from>
    <xdr:to>
      <xdr:col>25</xdr:col>
      <xdr:colOff>564930</xdr:colOff>
      <xdr:row>66</xdr:row>
      <xdr:rowOff>125280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30479</xdr:colOff>
      <xdr:row>67</xdr:row>
      <xdr:rowOff>19048</xdr:rowOff>
    </xdr:from>
    <xdr:to>
      <xdr:col>26</xdr:col>
      <xdr:colOff>12479</xdr:colOff>
      <xdr:row>86</xdr:row>
      <xdr:rowOff>144328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567690</xdr:colOff>
      <xdr:row>89</xdr:row>
      <xdr:rowOff>15240</xdr:rowOff>
    </xdr:from>
    <xdr:to>
      <xdr:col>25</xdr:col>
      <xdr:colOff>549690</xdr:colOff>
      <xdr:row>108</xdr:row>
      <xdr:rowOff>140520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11430</xdr:colOff>
      <xdr:row>109</xdr:row>
      <xdr:rowOff>175260</xdr:rowOff>
    </xdr:from>
    <xdr:to>
      <xdr:col>25</xdr:col>
      <xdr:colOff>564930</xdr:colOff>
      <xdr:row>129</xdr:row>
      <xdr:rowOff>117660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548640</xdr:colOff>
      <xdr:row>131</xdr:row>
      <xdr:rowOff>7620</xdr:rowOff>
    </xdr:from>
    <xdr:to>
      <xdr:col>25</xdr:col>
      <xdr:colOff>530640</xdr:colOff>
      <xdr:row>150</xdr:row>
      <xdr:rowOff>132900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567690</xdr:colOff>
      <xdr:row>151</xdr:row>
      <xdr:rowOff>175260</xdr:rowOff>
    </xdr:from>
    <xdr:to>
      <xdr:col>25</xdr:col>
      <xdr:colOff>549690</xdr:colOff>
      <xdr:row>171</xdr:row>
      <xdr:rowOff>117660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19050</xdr:colOff>
      <xdr:row>173</xdr:row>
      <xdr:rowOff>0</xdr:rowOff>
    </xdr:from>
    <xdr:to>
      <xdr:col>26</xdr:col>
      <xdr:colOff>1050</xdr:colOff>
      <xdr:row>192</xdr:row>
      <xdr:rowOff>125280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8466</xdr:colOff>
      <xdr:row>47</xdr:row>
      <xdr:rowOff>12700</xdr:rowOff>
    </xdr:from>
    <xdr:to>
      <xdr:col>16</xdr:col>
      <xdr:colOff>515399</xdr:colOff>
      <xdr:row>66</xdr:row>
      <xdr:rowOff>73633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8467</xdr:colOff>
      <xdr:row>68</xdr:row>
      <xdr:rowOff>4233</xdr:rowOff>
    </xdr:from>
    <xdr:to>
      <xdr:col>16</xdr:col>
      <xdr:colOff>515400</xdr:colOff>
      <xdr:row>87</xdr:row>
      <xdr:rowOff>65166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16933</xdr:colOff>
      <xdr:row>88</xdr:row>
      <xdr:rowOff>173566</xdr:rowOff>
    </xdr:from>
    <xdr:to>
      <xdr:col>16</xdr:col>
      <xdr:colOff>523866</xdr:colOff>
      <xdr:row>108</xdr:row>
      <xdr:rowOff>48233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</xdr:colOff>
      <xdr:row>110</xdr:row>
      <xdr:rowOff>12699</xdr:rowOff>
    </xdr:from>
    <xdr:to>
      <xdr:col>16</xdr:col>
      <xdr:colOff>553501</xdr:colOff>
      <xdr:row>129</xdr:row>
      <xdr:rowOff>137979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131</xdr:row>
      <xdr:rowOff>21166</xdr:rowOff>
    </xdr:from>
    <xdr:to>
      <xdr:col>16</xdr:col>
      <xdr:colOff>506933</xdr:colOff>
      <xdr:row>150</xdr:row>
      <xdr:rowOff>82099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152</xdr:row>
      <xdr:rowOff>12700</xdr:rowOff>
    </xdr:from>
    <xdr:to>
      <xdr:col>16</xdr:col>
      <xdr:colOff>506933</xdr:colOff>
      <xdr:row>171</xdr:row>
      <xdr:rowOff>73633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8467</xdr:colOff>
      <xdr:row>172</xdr:row>
      <xdr:rowOff>165099</xdr:rowOff>
    </xdr:from>
    <xdr:to>
      <xdr:col>16</xdr:col>
      <xdr:colOff>515400</xdr:colOff>
      <xdr:row>192</xdr:row>
      <xdr:rowOff>39766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47</xdr:row>
      <xdr:rowOff>0</xdr:rowOff>
    </xdr:from>
    <xdr:to>
      <xdr:col>15</xdr:col>
      <xdr:colOff>553500</xdr:colOff>
      <xdr:row>66</xdr:row>
      <xdr:rowOff>125280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556260</xdr:colOff>
      <xdr:row>67</xdr:row>
      <xdr:rowOff>175260</xdr:rowOff>
    </xdr:from>
    <xdr:to>
      <xdr:col>15</xdr:col>
      <xdr:colOff>538260</xdr:colOff>
      <xdr:row>87</xdr:row>
      <xdr:rowOff>117660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15240</xdr:colOff>
      <xdr:row>88</xdr:row>
      <xdr:rowOff>167640</xdr:rowOff>
    </xdr:from>
    <xdr:to>
      <xdr:col>15</xdr:col>
      <xdr:colOff>568740</xdr:colOff>
      <xdr:row>108</xdr:row>
      <xdr:rowOff>110040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15240</xdr:colOff>
      <xdr:row>110</xdr:row>
      <xdr:rowOff>0</xdr:rowOff>
    </xdr:from>
    <xdr:to>
      <xdr:col>15</xdr:col>
      <xdr:colOff>568740</xdr:colOff>
      <xdr:row>129</xdr:row>
      <xdr:rowOff>125280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563880</xdr:colOff>
      <xdr:row>130</xdr:row>
      <xdr:rowOff>160020</xdr:rowOff>
    </xdr:from>
    <xdr:to>
      <xdr:col>15</xdr:col>
      <xdr:colOff>545880</xdr:colOff>
      <xdr:row>150</xdr:row>
      <xdr:rowOff>102420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563880</xdr:colOff>
      <xdr:row>152</xdr:row>
      <xdr:rowOff>15240</xdr:rowOff>
    </xdr:from>
    <xdr:to>
      <xdr:col>15</xdr:col>
      <xdr:colOff>545880</xdr:colOff>
      <xdr:row>171</xdr:row>
      <xdr:rowOff>140520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15240</xdr:colOff>
      <xdr:row>172</xdr:row>
      <xdr:rowOff>175260</xdr:rowOff>
    </xdr:from>
    <xdr:to>
      <xdr:col>15</xdr:col>
      <xdr:colOff>568740</xdr:colOff>
      <xdr:row>192</xdr:row>
      <xdr:rowOff>117660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567690</xdr:colOff>
      <xdr:row>47</xdr:row>
      <xdr:rowOff>7620</xdr:rowOff>
    </xdr:from>
    <xdr:to>
      <xdr:col>15</xdr:col>
      <xdr:colOff>549690</xdr:colOff>
      <xdr:row>66</xdr:row>
      <xdr:rowOff>132900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533347-7C28-4AE7-98E5-DFEA5CEC03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567690</xdr:colOff>
      <xdr:row>68</xdr:row>
      <xdr:rowOff>22860</xdr:rowOff>
    </xdr:from>
    <xdr:to>
      <xdr:col>15</xdr:col>
      <xdr:colOff>549690</xdr:colOff>
      <xdr:row>87</xdr:row>
      <xdr:rowOff>148140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1613006-7C91-42AD-A88B-5C1375F53A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</xdr:colOff>
      <xdr:row>89</xdr:row>
      <xdr:rowOff>0</xdr:rowOff>
    </xdr:from>
    <xdr:to>
      <xdr:col>15</xdr:col>
      <xdr:colOff>557310</xdr:colOff>
      <xdr:row>108</xdr:row>
      <xdr:rowOff>125280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F0B9053-5EA2-4513-A1E8-0DDB803282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560070</xdr:colOff>
      <xdr:row>110</xdr:row>
      <xdr:rowOff>15240</xdr:rowOff>
    </xdr:from>
    <xdr:to>
      <xdr:col>15</xdr:col>
      <xdr:colOff>542070</xdr:colOff>
      <xdr:row>129</xdr:row>
      <xdr:rowOff>140520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EABFDF4-E6E6-40E3-B250-7BA947F9B9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19050</xdr:colOff>
      <xdr:row>131</xdr:row>
      <xdr:rowOff>0</xdr:rowOff>
    </xdr:from>
    <xdr:to>
      <xdr:col>16</xdr:col>
      <xdr:colOff>1050</xdr:colOff>
      <xdr:row>150</xdr:row>
      <xdr:rowOff>125280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5E8F30D-7657-4628-A10D-7A80525B5F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3810</xdr:colOff>
      <xdr:row>151</xdr:row>
      <xdr:rowOff>144780</xdr:rowOff>
    </xdr:from>
    <xdr:to>
      <xdr:col>15</xdr:col>
      <xdr:colOff>557310</xdr:colOff>
      <xdr:row>171</xdr:row>
      <xdr:rowOff>87180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CF5BC9-5AC5-4AF4-871D-87EEBC7C2A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11430</xdr:colOff>
      <xdr:row>173</xdr:row>
      <xdr:rowOff>7620</xdr:rowOff>
    </xdr:from>
    <xdr:to>
      <xdr:col>15</xdr:col>
      <xdr:colOff>564930</xdr:colOff>
      <xdr:row>192</xdr:row>
      <xdr:rowOff>132900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D65655-AAB3-4142-A6B9-BAC607C175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560070</xdr:colOff>
      <xdr:row>46</xdr:row>
      <xdr:rowOff>175260</xdr:rowOff>
    </xdr:from>
    <xdr:to>
      <xdr:col>24</xdr:col>
      <xdr:colOff>542070</xdr:colOff>
      <xdr:row>66</xdr:row>
      <xdr:rowOff>117660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19050</xdr:colOff>
      <xdr:row>68</xdr:row>
      <xdr:rowOff>0</xdr:rowOff>
    </xdr:from>
    <xdr:to>
      <xdr:col>25</xdr:col>
      <xdr:colOff>1050</xdr:colOff>
      <xdr:row>87</xdr:row>
      <xdr:rowOff>125280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3810</xdr:colOff>
      <xdr:row>88</xdr:row>
      <xdr:rowOff>175260</xdr:rowOff>
    </xdr:from>
    <xdr:to>
      <xdr:col>24</xdr:col>
      <xdr:colOff>557310</xdr:colOff>
      <xdr:row>108</xdr:row>
      <xdr:rowOff>117660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560070</xdr:colOff>
      <xdr:row>110</xdr:row>
      <xdr:rowOff>0</xdr:rowOff>
    </xdr:from>
    <xdr:to>
      <xdr:col>24</xdr:col>
      <xdr:colOff>542070</xdr:colOff>
      <xdr:row>129</xdr:row>
      <xdr:rowOff>125280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11430</xdr:colOff>
      <xdr:row>131</xdr:row>
      <xdr:rowOff>15240</xdr:rowOff>
    </xdr:from>
    <xdr:to>
      <xdr:col>24</xdr:col>
      <xdr:colOff>564930</xdr:colOff>
      <xdr:row>150</xdr:row>
      <xdr:rowOff>140520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3810</xdr:colOff>
      <xdr:row>151</xdr:row>
      <xdr:rowOff>167640</xdr:rowOff>
    </xdr:from>
    <xdr:to>
      <xdr:col>24</xdr:col>
      <xdr:colOff>557310</xdr:colOff>
      <xdr:row>171</xdr:row>
      <xdr:rowOff>110040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567690</xdr:colOff>
      <xdr:row>172</xdr:row>
      <xdr:rowOff>175260</xdr:rowOff>
    </xdr:from>
    <xdr:to>
      <xdr:col>24</xdr:col>
      <xdr:colOff>549690</xdr:colOff>
      <xdr:row>192</xdr:row>
      <xdr:rowOff>117660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47</xdr:row>
      <xdr:rowOff>11430</xdr:rowOff>
    </xdr:from>
    <xdr:to>
      <xdr:col>21</xdr:col>
      <xdr:colOff>1050</xdr:colOff>
      <xdr:row>66</xdr:row>
      <xdr:rowOff>136710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9F3C76-98CB-4E23-ADEC-6BA7DFFA4D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567690</xdr:colOff>
      <xdr:row>67</xdr:row>
      <xdr:rowOff>179070</xdr:rowOff>
    </xdr:from>
    <xdr:to>
      <xdr:col>20</xdr:col>
      <xdr:colOff>549690</xdr:colOff>
      <xdr:row>87</xdr:row>
      <xdr:rowOff>121470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ED3480D-90C3-411E-8971-81A3F1FA71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11431</xdr:colOff>
      <xdr:row>89</xdr:row>
      <xdr:rowOff>3809</xdr:rowOff>
    </xdr:from>
    <xdr:to>
      <xdr:col>20</xdr:col>
      <xdr:colOff>564931</xdr:colOff>
      <xdr:row>108</xdr:row>
      <xdr:rowOff>129089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4C25EB3-0266-4F0E-98FB-065A80B2EA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567690</xdr:colOff>
      <xdr:row>110</xdr:row>
      <xdr:rowOff>3810</xdr:rowOff>
    </xdr:from>
    <xdr:to>
      <xdr:col>20</xdr:col>
      <xdr:colOff>549690</xdr:colOff>
      <xdr:row>129</xdr:row>
      <xdr:rowOff>129090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189BCC-4F75-47DF-AD13-51DBE609E6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26670</xdr:colOff>
      <xdr:row>130</xdr:row>
      <xdr:rowOff>179070</xdr:rowOff>
    </xdr:from>
    <xdr:to>
      <xdr:col>21</xdr:col>
      <xdr:colOff>8670</xdr:colOff>
      <xdr:row>150</xdr:row>
      <xdr:rowOff>121470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8CD0081-06D6-4DCF-BCC7-45332FF991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567690</xdr:colOff>
      <xdr:row>151</xdr:row>
      <xdr:rowOff>179070</xdr:rowOff>
    </xdr:from>
    <xdr:to>
      <xdr:col>20</xdr:col>
      <xdr:colOff>549690</xdr:colOff>
      <xdr:row>171</xdr:row>
      <xdr:rowOff>121470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E58CD46-A11B-498C-AEA8-75E4FD9BF1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19050</xdr:colOff>
      <xdr:row>173</xdr:row>
      <xdr:rowOff>11430</xdr:rowOff>
    </xdr:from>
    <xdr:to>
      <xdr:col>21</xdr:col>
      <xdr:colOff>1050</xdr:colOff>
      <xdr:row>192</xdr:row>
      <xdr:rowOff>136710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F6A5BC7-FD31-4F58-82B0-485415E1ED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</xdr:colOff>
      <xdr:row>47</xdr:row>
      <xdr:rowOff>11430</xdr:rowOff>
    </xdr:from>
    <xdr:to>
      <xdr:col>20</xdr:col>
      <xdr:colOff>564930</xdr:colOff>
      <xdr:row>66</xdr:row>
      <xdr:rowOff>136710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26EE00-DB8D-4A65-B7D3-0D619F8D9F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</xdr:colOff>
      <xdr:row>67</xdr:row>
      <xdr:rowOff>179070</xdr:rowOff>
    </xdr:from>
    <xdr:to>
      <xdr:col>20</xdr:col>
      <xdr:colOff>557310</xdr:colOff>
      <xdr:row>87</xdr:row>
      <xdr:rowOff>121470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234A601-FF4F-4AC9-AC10-5A88402F8D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3810</xdr:colOff>
      <xdr:row>88</xdr:row>
      <xdr:rowOff>171450</xdr:rowOff>
    </xdr:from>
    <xdr:to>
      <xdr:col>20</xdr:col>
      <xdr:colOff>557310</xdr:colOff>
      <xdr:row>108</xdr:row>
      <xdr:rowOff>113850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456C67E-4790-47DE-BB19-58D634A4B4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567690</xdr:colOff>
      <xdr:row>109</xdr:row>
      <xdr:rowOff>179070</xdr:rowOff>
    </xdr:from>
    <xdr:to>
      <xdr:col>20</xdr:col>
      <xdr:colOff>549690</xdr:colOff>
      <xdr:row>129</xdr:row>
      <xdr:rowOff>121470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E2DC70-21B2-4ECC-8356-A9020033A2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19050</xdr:colOff>
      <xdr:row>131</xdr:row>
      <xdr:rowOff>11430</xdr:rowOff>
    </xdr:from>
    <xdr:to>
      <xdr:col>21</xdr:col>
      <xdr:colOff>1050</xdr:colOff>
      <xdr:row>150</xdr:row>
      <xdr:rowOff>136710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79996D8-BCC7-4A04-B405-E911200D11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560070</xdr:colOff>
      <xdr:row>152</xdr:row>
      <xdr:rowOff>19050</xdr:rowOff>
    </xdr:from>
    <xdr:to>
      <xdr:col>20</xdr:col>
      <xdr:colOff>542070</xdr:colOff>
      <xdr:row>171</xdr:row>
      <xdr:rowOff>144330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EFD688-16B7-41CD-8751-A4B3B9718E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3810</xdr:colOff>
      <xdr:row>172</xdr:row>
      <xdr:rowOff>171450</xdr:rowOff>
    </xdr:from>
    <xdr:to>
      <xdr:col>20</xdr:col>
      <xdr:colOff>557310</xdr:colOff>
      <xdr:row>192</xdr:row>
      <xdr:rowOff>113850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0D70809-64BF-4ED4-B370-9F49AFA23F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</xdr:colOff>
      <xdr:row>48</xdr:row>
      <xdr:rowOff>11430</xdr:rowOff>
    </xdr:from>
    <xdr:to>
      <xdr:col>20</xdr:col>
      <xdr:colOff>557310</xdr:colOff>
      <xdr:row>67</xdr:row>
      <xdr:rowOff>136710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A188EA-9512-461B-BABF-ACDCB981FB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</xdr:colOff>
      <xdr:row>69</xdr:row>
      <xdr:rowOff>3810</xdr:rowOff>
    </xdr:from>
    <xdr:to>
      <xdr:col>20</xdr:col>
      <xdr:colOff>557310</xdr:colOff>
      <xdr:row>88</xdr:row>
      <xdr:rowOff>129090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B1B8881-0B01-4F97-9CF0-B98C71B3EA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560070</xdr:colOff>
      <xdr:row>89</xdr:row>
      <xdr:rowOff>179070</xdr:rowOff>
    </xdr:from>
    <xdr:to>
      <xdr:col>20</xdr:col>
      <xdr:colOff>542070</xdr:colOff>
      <xdr:row>109</xdr:row>
      <xdr:rowOff>121470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30A4B0E-AB92-4994-B9A3-6BAFC12DF2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560070</xdr:colOff>
      <xdr:row>110</xdr:row>
      <xdr:rowOff>171450</xdr:rowOff>
    </xdr:from>
    <xdr:to>
      <xdr:col>20</xdr:col>
      <xdr:colOff>542070</xdr:colOff>
      <xdr:row>130</xdr:row>
      <xdr:rowOff>113850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CEC6876-8D1B-4689-BDE9-BDC8CDC4A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560070</xdr:colOff>
      <xdr:row>131</xdr:row>
      <xdr:rowOff>179070</xdr:rowOff>
    </xdr:from>
    <xdr:to>
      <xdr:col>20</xdr:col>
      <xdr:colOff>542070</xdr:colOff>
      <xdr:row>151</xdr:row>
      <xdr:rowOff>121470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D8F9BE4-6902-4D6F-B401-7F01352928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560070</xdr:colOff>
      <xdr:row>152</xdr:row>
      <xdr:rowOff>156210</xdr:rowOff>
    </xdr:from>
    <xdr:to>
      <xdr:col>20</xdr:col>
      <xdr:colOff>542070</xdr:colOff>
      <xdr:row>172</xdr:row>
      <xdr:rowOff>98610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8DACF3-E3B5-41D2-8578-1BA6ACDF5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11430</xdr:colOff>
      <xdr:row>174</xdr:row>
      <xdr:rowOff>11430</xdr:rowOff>
    </xdr:from>
    <xdr:to>
      <xdr:col>20</xdr:col>
      <xdr:colOff>564930</xdr:colOff>
      <xdr:row>193</xdr:row>
      <xdr:rowOff>136710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AA67009-71DC-44C1-847C-A45E7B7D44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</xdr:colOff>
      <xdr:row>47</xdr:row>
      <xdr:rowOff>3810</xdr:rowOff>
    </xdr:from>
    <xdr:to>
      <xdr:col>21</xdr:col>
      <xdr:colOff>8670</xdr:colOff>
      <xdr:row>66</xdr:row>
      <xdr:rowOff>129090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FC1B09-F47D-4C20-ABD1-52E93BDF9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552450</xdr:colOff>
      <xdr:row>67</xdr:row>
      <xdr:rowOff>179070</xdr:rowOff>
    </xdr:from>
    <xdr:to>
      <xdr:col>20</xdr:col>
      <xdr:colOff>534450</xdr:colOff>
      <xdr:row>87</xdr:row>
      <xdr:rowOff>121470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CE4C62F-1E47-4BBE-979A-C9EAFF5CB3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567690</xdr:colOff>
      <xdr:row>88</xdr:row>
      <xdr:rowOff>163830</xdr:rowOff>
    </xdr:from>
    <xdr:to>
      <xdr:col>20</xdr:col>
      <xdr:colOff>549690</xdr:colOff>
      <xdr:row>108</xdr:row>
      <xdr:rowOff>106230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8E8A2C-6532-46D6-A1F8-8A40E2801B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567690</xdr:colOff>
      <xdr:row>109</xdr:row>
      <xdr:rowOff>171450</xdr:rowOff>
    </xdr:from>
    <xdr:to>
      <xdr:col>20</xdr:col>
      <xdr:colOff>549690</xdr:colOff>
      <xdr:row>129</xdr:row>
      <xdr:rowOff>113850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8E0C26-032D-4F8C-BBBD-5BA7A9814B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567690</xdr:colOff>
      <xdr:row>130</xdr:row>
      <xdr:rowOff>179070</xdr:rowOff>
    </xdr:from>
    <xdr:to>
      <xdr:col>20</xdr:col>
      <xdr:colOff>549690</xdr:colOff>
      <xdr:row>150</xdr:row>
      <xdr:rowOff>121470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98179D7-ECCF-472E-90A5-2E85881BAD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3810</xdr:colOff>
      <xdr:row>151</xdr:row>
      <xdr:rowOff>171450</xdr:rowOff>
    </xdr:from>
    <xdr:to>
      <xdr:col>20</xdr:col>
      <xdr:colOff>557310</xdr:colOff>
      <xdr:row>171</xdr:row>
      <xdr:rowOff>113850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C03C567-94C5-4DB1-B8EC-221CA41356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3810</xdr:colOff>
      <xdr:row>172</xdr:row>
      <xdr:rowOff>156210</xdr:rowOff>
    </xdr:from>
    <xdr:to>
      <xdr:col>20</xdr:col>
      <xdr:colOff>557310</xdr:colOff>
      <xdr:row>192</xdr:row>
      <xdr:rowOff>98610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59934E-F59A-451B-9645-A735461857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567690</xdr:colOff>
      <xdr:row>47</xdr:row>
      <xdr:rowOff>3810</xdr:rowOff>
    </xdr:from>
    <xdr:to>
      <xdr:col>15</xdr:col>
      <xdr:colOff>549690</xdr:colOff>
      <xdr:row>66</xdr:row>
      <xdr:rowOff>129090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6F9622-386C-4376-A074-9E25CBC5F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</xdr:colOff>
      <xdr:row>67</xdr:row>
      <xdr:rowOff>171450</xdr:rowOff>
    </xdr:from>
    <xdr:to>
      <xdr:col>15</xdr:col>
      <xdr:colOff>557310</xdr:colOff>
      <xdr:row>87</xdr:row>
      <xdr:rowOff>113850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DE9953-0B8E-444C-B79A-BB2A9FFD3A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11430</xdr:colOff>
      <xdr:row>88</xdr:row>
      <xdr:rowOff>179070</xdr:rowOff>
    </xdr:from>
    <xdr:to>
      <xdr:col>15</xdr:col>
      <xdr:colOff>564930</xdr:colOff>
      <xdr:row>108</xdr:row>
      <xdr:rowOff>121470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7FF7AC4-0F1C-4D55-AF6D-F2CC347385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560070</xdr:colOff>
      <xdr:row>109</xdr:row>
      <xdr:rowOff>179070</xdr:rowOff>
    </xdr:from>
    <xdr:to>
      <xdr:col>15</xdr:col>
      <xdr:colOff>542070</xdr:colOff>
      <xdr:row>129</xdr:row>
      <xdr:rowOff>121470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0A9DEA-C8F5-4177-AA0C-40E455312A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3810</xdr:colOff>
      <xdr:row>130</xdr:row>
      <xdr:rowOff>148590</xdr:rowOff>
    </xdr:from>
    <xdr:to>
      <xdr:col>15</xdr:col>
      <xdr:colOff>557310</xdr:colOff>
      <xdr:row>150</xdr:row>
      <xdr:rowOff>90990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12886D7-45B1-4DA6-9603-D90E0D905C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560070</xdr:colOff>
      <xdr:row>151</xdr:row>
      <xdr:rowOff>171450</xdr:rowOff>
    </xdr:from>
    <xdr:to>
      <xdr:col>15</xdr:col>
      <xdr:colOff>542070</xdr:colOff>
      <xdr:row>171</xdr:row>
      <xdr:rowOff>113850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25D9E67-7E47-4D98-A5C1-7B71F74AE9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567690</xdr:colOff>
      <xdr:row>172</xdr:row>
      <xdr:rowOff>156210</xdr:rowOff>
    </xdr:from>
    <xdr:to>
      <xdr:col>15</xdr:col>
      <xdr:colOff>549690</xdr:colOff>
      <xdr:row>192</xdr:row>
      <xdr:rowOff>98610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447C775-46E6-4767-9459-B2423669A7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</xdr:colOff>
      <xdr:row>47</xdr:row>
      <xdr:rowOff>3810</xdr:rowOff>
    </xdr:from>
    <xdr:to>
      <xdr:col>14</xdr:col>
      <xdr:colOff>423960</xdr:colOff>
      <xdr:row>66</xdr:row>
      <xdr:rowOff>129090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A68FF79-7A88-4F80-8639-57334169A3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</xdr:colOff>
      <xdr:row>67</xdr:row>
      <xdr:rowOff>163830</xdr:rowOff>
    </xdr:from>
    <xdr:to>
      <xdr:col>14</xdr:col>
      <xdr:colOff>408720</xdr:colOff>
      <xdr:row>87</xdr:row>
      <xdr:rowOff>106230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D128D3F-1AEE-4CD7-B47C-8C7C50C611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22860</xdr:colOff>
      <xdr:row>88</xdr:row>
      <xdr:rowOff>179070</xdr:rowOff>
    </xdr:from>
    <xdr:to>
      <xdr:col>14</xdr:col>
      <xdr:colOff>423960</xdr:colOff>
      <xdr:row>108</xdr:row>
      <xdr:rowOff>121470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F9C42FE-9E24-4036-848B-BCA0FED467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109</xdr:row>
      <xdr:rowOff>179070</xdr:rowOff>
    </xdr:from>
    <xdr:to>
      <xdr:col>14</xdr:col>
      <xdr:colOff>401100</xdr:colOff>
      <xdr:row>129</xdr:row>
      <xdr:rowOff>121470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8A29BAE-4612-4BA1-A02A-27A3929903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</xdr:colOff>
      <xdr:row>131</xdr:row>
      <xdr:rowOff>11430</xdr:rowOff>
    </xdr:from>
    <xdr:to>
      <xdr:col>14</xdr:col>
      <xdr:colOff>416340</xdr:colOff>
      <xdr:row>150</xdr:row>
      <xdr:rowOff>136710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3FADC0-C0CE-41B9-ACC3-7F23669065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1493520</xdr:colOff>
      <xdr:row>151</xdr:row>
      <xdr:rowOff>171450</xdr:rowOff>
    </xdr:from>
    <xdr:to>
      <xdr:col>14</xdr:col>
      <xdr:colOff>393480</xdr:colOff>
      <xdr:row>171</xdr:row>
      <xdr:rowOff>113850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D17F2D5-A93C-4BB3-BA54-9784FEA54F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7620</xdr:colOff>
      <xdr:row>172</xdr:row>
      <xdr:rowOff>171450</xdr:rowOff>
    </xdr:from>
    <xdr:to>
      <xdr:col>14</xdr:col>
      <xdr:colOff>408720</xdr:colOff>
      <xdr:row>192</xdr:row>
      <xdr:rowOff>113850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574BAC9-32F5-4F7F-9C0D-C28D25C11A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46</xdr:row>
      <xdr:rowOff>156210</xdr:rowOff>
    </xdr:from>
    <xdr:to>
      <xdr:col>14</xdr:col>
      <xdr:colOff>561120</xdr:colOff>
      <xdr:row>66</xdr:row>
      <xdr:rowOff>98610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57C2C9-1BE1-4684-8803-D671723C0E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68</xdr:row>
      <xdr:rowOff>11430</xdr:rowOff>
    </xdr:from>
    <xdr:to>
      <xdr:col>14</xdr:col>
      <xdr:colOff>553500</xdr:colOff>
      <xdr:row>87</xdr:row>
      <xdr:rowOff>136710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E6372C6-AC9D-40A7-93E1-6C893A6D4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7620</xdr:colOff>
      <xdr:row>89</xdr:row>
      <xdr:rowOff>3810</xdr:rowOff>
    </xdr:from>
    <xdr:to>
      <xdr:col>14</xdr:col>
      <xdr:colOff>561120</xdr:colOff>
      <xdr:row>108</xdr:row>
      <xdr:rowOff>129090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486BA6-C312-4C5C-B3B1-BD25B49EE2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15240</xdr:colOff>
      <xdr:row>109</xdr:row>
      <xdr:rowOff>171450</xdr:rowOff>
    </xdr:from>
    <xdr:to>
      <xdr:col>14</xdr:col>
      <xdr:colOff>568740</xdr:colOff>
      <xdr:row>129</xdr:row>
      <xdr:rowOff>113850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A3B8829-1698-43FD-A2A1-22749DEB6F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1455421</xdr:colOff>
      <xdr:row>130</xdr:row>
      <xdr:rowOff>179069</xdr:rowOff>
    </xdr:from>
    <xdr:to>
      <xdr:col>14</xdr:col>
      <xdr:colOff>507781</xdr:colOff>
      <xdr:row>150</xdr:row>
      <xdr:rowOff>121469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4EE3C0-EB33-4D8E-B423-DE093823E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7620</xdr:colOff>
      <xdr:row>151</xdr:row>
      <xdr:rowOff>179070</xdr:rowOff>
    </xdr:from>
    <xdr:to>
      <xdr:col>14</xdr:col>
      <xdr:colOff>561120</xdr:colOff>
      <xdr:row>171</xdr:row>
      <xdr:rowOff>121470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01E1F28-6903-4E8D-8DBF-9845348A3C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15240</xdr:colOff>
      <xdr:row>172</xdr:row>
      <xdr:rowOff>171450</xdr:rowOff>
    </xdr:from>
    <xdr:to>
      <xdr:col>14</xdr:col>
      <xdr:colOff>568740</xdr:colOff>
      <xdr:row>192</xdr:row>
      <xdr:rowOff>113850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C487A3F-475A-431C-8E3D-F58BB6FFD0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</xdr:colOff>
      <xdr:row>46</xdr:row>
      <xdr:rowOff>179070</xdr:rowOff>
    </xdr:from>
    <xdr:to>
      <xdr:col>15</xdr:col>
      <xdr:colOff>557310</xdr:colOff>
      <xdr:row>66</xdr:row>
      <xdr:rowOff>121470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0FC159F-A640-46C1-AB58-905E4F73E0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560070</xdr:colOff>
      <xdr:row>67</xdr:row>
      <xdr:rowOff>163830</xdr:rowOff>
    </xdr:from>
    <xdr:to>
      <xdr:col>15</xdr:col>
      <xdr:colOff>542070</xdr:colOff>
      <xdr:row>87</xdr:row>
      <xdr:rowOff>106230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5EC7B29-5205-4AB6-A166-19289552D1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</xdr:colOff>
      <xdr:row>88</xdr:row>
      <xdr:rowOff>179070</xdr:rowOff>
    </xdr:from>
    <xdr:to>
      <xdr:col>15</xdr:col>
      <xdr:colOff>557310</xdr:colOff>
      <xdr:row>108</xdr:row>
      <xdr:rowOff>121470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6364A-1C80-4452-BA8A-255A470AC6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26670</xdr:colOff>
      <xdr:row>109</xdr:row>
      <xdr:rowOff>163830</xdr:rowOff>
    </xdr:from>
    <xdr:to>
      <xdr:col>16</xdr:col>
      <xdr:colOff>8670</xdr:colOff>
      <xdr:row>129</xdr:row>
      <xdr:rowOff>106230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B3EB21-8875-426A-B8FB-FF230B2258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3810</xdr:colOff>
      <xdr:row>130</xdr:row>
      <xdr:rowOff>179070</xdr:rowOff>
    </xdr:from>
    <xdr:to>
      <xdr:col>15</xdr:col>
      <xdr:colOff>557310</xdr:colOff>
      <xdr:row>150</xdr:row>
      <xdr:rowOff>121470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0D0B6F-FA8F-4C2C-B26B-9E890D79FA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19050</xdr:colOff>
      <xdr:row>152</xdr:row>
      <xdr:rowOff>11430</xdr:rowOff>
    </xdr:from>
    <xdr:to>
      <xdr:col>16</xdr:col>
      <xdr:colOff>1050</xdr:colOff>
      <xdr:row>171</xdr:row>
      <xdr:rowOff>136710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3B1259-6DBA-4912-8EF7-7DB06A3F93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560070</xdr:colOff>
      <xdr:row>172</xdr:row>
      <xdr:rowOff>179070</xdr:rowOff>
    </xdr:from>
    <xdr:to>
      <xdr:col>15</xdr:col>
      <xdr:colOff>542070</xdr:colOff>
      <xdr:row>192</xdr:row>
      <xdr:rowOff>121470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9FB2999-8E1C-489B-9677-9AEE7AD3CF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376238</xdr:colOff>
      <xdr:row>47</xdr:row>
      <xdr:rowOff>4762</xdr:rowOff>
    </xdr:from>
    <xdr:to>
      <xdr:col>25</xdr:col>
      <xdr:colOff>247650</xdr:colOff>
      <xdr:row>60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CEAC5D-7428-4EFA-A0F0-CA7D5EF77E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</xdr:colOff>
      <xdr:row>46</xdr:row>
      <xdr:rowOff>179070</xdr:rowOff>
    </xdr:from>
    <xdr:to>
      <xdr:col>15</xdr:col>
      <xdr:colOff>557310</xdr:colOff>
      <xdr:row>66</xdr:row>
      <xdr:rowOff>121470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56CAAA-B9A9-482B-BCFD-BCEFDDB56F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</xdr:colOff>
      <xdr:row>68</xdr:row>
      <xdr:rowOff>57150</xdr:rowOff>
    </xdr:from>
    <xdr:to>
      <xdr:col>15</xdr:col>
      <xdr:colOff>557310</xdr:colOff>
      <xdr:row>87</xdr:row>
      <xdr:rowOff>182430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6D7BDCA-1D22-43F3-8C67-6E41927DB9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567690</xdr:colOff>
      <xdr:row>89</xdr:row>
      <xdr:rowOff>3810</xdr:rowOff>
    </xdr:from>
    <xdr:to>
      <xdr:col>15</xdr:col>
      <xdr:colOff>549690</xdr:colOff>
      <xdr:row>108</xdr:row>
      <xdr:rowOff>129090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BC44DC9-7C3E-4D05-83E0-05D06BD91C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3810</xdr:colOff>
      <xdr:row>109</xdr:row>
      <xdr:rowOff>179070</xdr:rowOff>
    </xdr:from>
    <xdr:to>
      <xdr:col>15</xdr:col>
      <xdr:colOff>557310</xdr:colOff>
      <xdr:row>129</xdr:row>
      <xdr:rowOff>121470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ED8B2-D976-44E1-8692-B3BCD6FE64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567690</xdr:colOff>
      <xdr:row>131</xdr:row>
      <xdr:rowOff>3810</xdr:rowOff>
    </xdr:from>
    <xdr:to>
      <xdr:col>15</xdr:col>
      <xdr:colOff>549690</xdr:colOff>
      <xdr:row>150</xdr:row>
      <xdr:rowOff>129090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C77765-B98A-4B31-B8E0-69BB74E9A9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11430</xdr:colOff>
      <xdr:row>151</xdr:row>
      <xdr:rowOff>156210</xdr:rowOff>
    </xdr:from>
    <xdr:to>
      <xdr:col>15</xdr:col>
      <xdr:colOff>564930</xdr:colOff>
      <xdr:row>171</xdr:row>
      <xdr:rowOff>98610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7B6022-D4D6-4EA0-BA07-57A202DF18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560070</xdr:colOff>
      <xdr:row>173</xdr:row>
      <xdr:rowOff>3810</xdr:rowOff>
    </xdr:from>
    <xdr:to>
      <xdr:col>15</xdr:col>
      <xdr:colOff>542070</xdr:colOff>
      <xdr:row>192</xdr:row>
      <xdr:rowOff>129090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2613ED0-D0D1-42F7-8D3C-D86212D623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556260</xdr:colOff>
      <xdr:row>48</xdr:row>
      <xdr:rowOff>0</xdr:rowOff>
    </xdr:from>
    <xdr:to>
      <xdr:col>15</xdr:col>
      <xdr:colOff>538260</xdr:colOff>
      <xdr:row>67</xdr:row>
      <xdr:rowOff>125280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22860</xdr:colOff>
      <xdr:row>69</xdr:row>
      <xdr:rowOff>0</xdr:rowOff>
    </xdr:from>
    <xdr:to>
      <xdr:col>16</xdr:col>
      <xdr:colOff>4860</xdr:colOff>
      <xdr:row>88</xdr:row>
      <xdr:rowOff>125280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15240</xdr:colOff>
      <xdr:row>89</xdr:row>
      <xdr:rowOff>175260</xdr:rowOff>
    </xdr:from>
    <xdr:to>
      <xdr:col>15</xdr:col>
      <xdr:colOff>568740</xdr:colOff>
      <xdr:row>109</xdr:row>
      <xdr:rowOff>117660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111</xdr:row>
      <xdr:rowOff>22860</xdr:rowOff>
    </xdr:from>
    <xdr:to>
      <xdr:col>15</xdr:col>
      <xdr:colOff>553500</xdr:colOff>
      <xdr:row>130</xdr:row>
      <xdr:rowOff>148140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563880</xdr:colOff>
      <xdr:row>132</xdr:row>
      <xdr:rowOff>15240</xdr:rowOff>
    </xdr:from>
    <xdr:to>
      <xdr:col>15</xdr:col>
      <xdr:colOff>545880</xdr:colOff>
      <xdr:row>151</xdr:row>
      <xdr:rowOff>140520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15240</xdr:colOff>
      <xdr:row>153</xdr:row>
      <xdr:rowOff>15240</xdr:rowOff>
    </xdr:from>
    <xdr:to>
      <xdr:col>15</xdr:col>
      <xdr:colOff>568740</xdr:colOff>
      <xdr:row>172</xdr:row>
      <xdr:rowOff>140520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563880</xdr:colOff>
      <xdr:row>174</xdr:row>
      <xdr:rowOff>0</xdr:rowOff>
    </xdr:from>
    <xdr:to>
      <xdr:col>15</xdr:col>
      <xdr:colOff>545880</xdr:colOff>
      <xdr:row>193</xdr:row>
      <xdr:rowOff>125280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47</xdr:row>
      <xdr:rowOff>3810</xdr:rowOff>
    </xdr:from>
    <xdr:to>
      <xdr:col>19</xdr:col>
      <xdr:colOff>534450</xdr:colOff>
      <xdr:row>66</xdr:row>
      <xdr:rowOff>129090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748E4D2-C8D1-4ED6-AA41-46B0931FB2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68</xdr:row>
      <xdr:rowOff>3810</xdr:rowOff>
    </xdr:from>
    <xdr:to>
      <xdr:col>20</xdr:col>
      <xdr:colOff>1050</xdr:colOff>
      <xdr:row>87</xdr:row>
      <xdr:rowOff>129090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E31EAA3-61C3-4DB4-80A2-9BF7701A04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11430</xdr:colOff>
      <xdr:row>88</xdr:row>
      <xdr:rowOff>156210</xdr:rowOff>
    </xdr:from>
    <xdr:to>
      <xdr:col>19</xdr:col>
      <xdr:colOff>564930</xdr:colOff>
      <xdr:row>108</xdr:row>
      <xdr:rowOff>98610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2334E3D-0BBA-4521-B3F1-2F63346814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11430</xdr:colOff>
      <xdr:row>109</xdr:row>
      <xdr:rowOff>179070</xdr:rowOff>
    </xdr:from>
    <xdr:to>
      <xdr:col>19</xdr:col>
      <xdr:colOff>564930</xdr:colOff>
      <xdr:row>129</xdr:row>
      <xdr:rowOff>121470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6B8A5C-1801-4235-AF02-B2B3626169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3810</xdr:colOff>
      <xdr:row>130</xdr:row>
      <xdr:rowOff>163830</xdr:rowOff>
    </xdr:from>
    <xdr:to>
      <xdr:col>19</xdr:col>
      <xdr:colOff>557310</xdr:colOff>
      <xdr:row>150</xdr:row>
      <xdr:rowOff>106230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628CA67-30AF-4FBF-9721-5172FD74CB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560070</xdr:colOff>
      <xdr:row>151</xdr:row>
      <xdr:rowOff>163830</xdr:rowOff>
    </xdr:from>
    <xdr:to>
      <xdr:col>19</xdr:col>
      <xdr:colOff>542070</xdr:colOff>
      <xdr:row>171</xdr:row>
      <xdr:rowOff>106230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A0B924-1CF1-43C9-9D75-AF8897276C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567690</xdr:colOff>
      <xdr:row>172</xdr:row>
      <xdr:rowOff>156210</xdr:rowOff>
    </xdr:from>
    <xdr:to>
      <xdr:col>19</xdr:col>
      <xdr:colOff>549690</xdr:colOff>
      <xdr:row>192</xdr:row>
      <xdr:rowOff>98610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85F09E5-C60C-4926-86A3-69708AF411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</xdr:colOff>
      <xdr:row>46</xdr:row>
      <xdr:rowOff>171450</xdr:rowOff>
    </xdr:from>
    <xdr:to>
      <xdr:col>19</xdr:col>
      <xdr:colOff>564930</xdr:colOff>
      <xdr:row>66</xdr:row>
      <xdr:rowOff>113850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B303CF-0D98-4575-AEA5-5D8A620B8B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</xdr:colOff>
      <xdr:row>67</xdr:row>
      <xdr:rowOff>160020</xdr:rowOff>
    </xdr:from>
    <xdr:to>
      <xdr:col>19</xdr:col>
      <xdr:colOff>557310</xdr:colOff>
      <xdr:row>87</xdr:row>
      <xdr:rowOff>102420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44EE0D5-2744-4781-ADC5-6189F95556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567690</xdr:colOff>
      <xdr:row>88</xdr:row>
      <xdr:rowOff>175260</xdr:rowOff>
    </xdr:from>
    <xdr:to>
      <xdr:col>19</xdr:col>
      <xdr:colOff>549690</xdr:colOff>
      <xdr:row>108</xdr:row>
      <xdr:rowOff>117660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60940DA-4ABF-47CB-A6C0-F6ACCCC006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567690</xdr:colOff>
      <xdr:row>109</xdr:row>
      <xdr:rowOff>175260</xdr:rowOff>
    </xdr:from>
    <xdr:to>
      <xdr:col>19</xdr:col>
      <xdr:colOff>549690</xdr:colOff>
      <xdr:row>129</xdr:row>
      <xdr:rowOff>117660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BBBE2C-CA07-4455-ADD9-110EDE41BE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560070</xdr:colOff>
      <xdr:row>131</xdr:row>
      <xdr:rowOff>0</xdr:rowOff>
    </xdr:from>
    <xdr:to>
      <xdr:col>19</xdr:col>
      <xdr:colOff>542070</xdr:colOff>
      <xdr:row>150</xdr:row>
      <xdr:rowOff>125280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CAAA2E1-8272-4551-8732-05E3CED09B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3810</xdr:colOff>
      <xdr:row>151</xdr:row>
      <xdr:rowOff>152400</xdr:rowOff>
    </xdr:from>
    <xdr:to>
      <xdr:col>19</xdr:col>
      <xdr:colOff>557310</xdr:colOff>
      <xdr:row>171</xdr:row>
      <xdr:rowOff>94800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6802971-CEF8-4CA3-8675-0059EE21BE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3810</xdr:colOff>
      <xdr:row>172</xdr:row>
      <xdr:rowOff>152400</xdr:rowOff>
    </xdr:from>
    <xdr:to>
      <xdr:col>19</xdr:col>
      <xdr:colOff>557310</xdr:colOff>
      <xdr:row>192</xdr:row>
      <xdr:rowOff>94800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8074A7-FCB5-49CF-BCD9-DF3C1E4462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560070</xdr:colOff>
      <xdr:row>47</xdr:row>
      <xdr:rowOff>22860</xdr:rowOff>
    </xdr:from>
    <xdr:to>
      <xdr:col>25</xdr:col>
      <xdr:colOff>542070</xdr:colOff>
      <xdr:row>66</xdr:row>
      <xdr:rowOff>148140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676CBB-2E2B-4758-AAC8-F0235A5A0D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552450</xdr:colOff>
      <xdr:row>67</xdr:row>
      <xdr:rowOff>175260</xdr:rowOff>
    </xdr:from>
    <xdr:to>
      <xdr:col>25</xdr:col>
      <xdr:colOff>534450</xdr:colOff>
      <xdr:row>87</xdr:row>
      <xdr:rowOff>117660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99BF507-1407-408B-95FA-168E5DE6B3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567690</xdr:colOff>
      <xdr:row>89</xdr:row>
      <xdr:rowOff>22860</xdr:rowOff>
    </xdr:from>
    <xdr:to>
      <xdr:col>25</xdr:col>
      <xdr:colOff>549690</xdr:colOff>
      <xdr:row>108</xdr:row>
      <xdr:rowOff>148140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035DC93-94E5-4F3C-9FA9-03F56118EE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560070</xdr:colOff>
      <xdr:row>110</xdr:row>
      <xdr:rowOff>30480</xdr:rowOff>
    </xdr:from>
    <xdr:to>
      <xdr:col>25</xdr:col>
      <xdr:colOff>542070</xdr:colOff>
      <xdr:row>129</xdr:row>
      <xdr:rowOff>155760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92B2F6-034B-4B66-90B0-A9FB4FF5B1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560070</xdr:colOff>
      <xdr:row>130</xdr:row>
      <xdr:rowOff>175260</xdr:rowOff>
    </xdr:from>
    <xdr:to>
      <xdr:col>25</xdr:col>
      <xdr:colOff>542070</xdr:colOff>
      <xdr:row>150</xdr:row>
      <xdr:rowOff>117660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E00915-E08F-4ED9-858B-DB2249FE73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567690</xdr:colOff>
      <xdr:row>151</xdr:row>
      <xdr:rowOff>167640</xdr:rowOff>
    </xdr:from>
    <xdr:to>
      <xdr:col>25</xdr:col>
      <xdr:colOff>549690</xdr:colOff>
      <xdr:row>171</xdr:row>
      <xdr:rowOff>110040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9771D24-3A16-4223-B893-A65AE77231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567690</xdr:colOff>
      <xdr:row>173</xdr:row>
      <xdr:rowOff>15240</xdr:rowOff>
    </xdr:from>
    <xdr:to>
      <xdr:col>25</xdr:col>
      <xdr:colOff>549690</xdr:colOff>
      <xdr:row>192</xdr:row>
      <xdr:rowOff>140520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15CB4D8-EBD7-4DF1-B2CD-CB30ED0B56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567690</xdr:colOff>
      <xdr:row>46</xdr:row>
      <xdr:rowOff>175260</xdr:rowOff>
    </xdr:from>
    <xdr:to>
      <xdr:col>21</xdr:col>
      <xdr:colOff>549690</xdr:colOff>
      <xdr:row>66</xdr:row>
      <xdr:rowOff>117660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37CDB9C-1806-4260-B011-D5A47FFBAE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567690</xdr:colOff>
      <xdr:row>68</xdr:row>
      <xdr:rowOff>0</xdr:rowOff>
    </xdr:from>
    <xdr:to>
      <xdr:col>21</xdr:col>
      <xdr:colOff>549690</xdr:colOff>
      <xdr:row>87</xdr:row>
      <xdr:rowOff>125280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B426E73-031C-4A12-B487-54D0B5F4A0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</xdr:colOff>
      <xdr:row>89</xdr:row>
      <xdr:rowOff>22860</xdr:rowOff>
    </xdr:from>
    <xdr:to>
      <xdr:col>21</xdr:col>
      <xdr:colOff>564930</xdr:colOff>
      <xdr:row>108</xdr:row>
      <xdr:rowOff>148140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DA3FDD-EB30-4F8D-8FE3-12B62322D4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552450</xdr:colOff>
      <xdr:row>110</xdr:row>
      <xdr:rowOff>7620</xdr:rowOff>
    </xdr:from>
    <xdr:to>
      <xdr:col>21</xdr:col>
      <xdr:colOff>534450</xdr:colOff>
      <xdr:row>129</xdr:row>
      <xdr:rowOff>132900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948D249-B493-42FE-ADD9-C3789C2900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3810</xdr:colOff>
      <xdr:row>131</xdr:row>
      <xdr:rowOff>7620</xdr:rowOff>
    </xdr:from>
    <xdr:to>
      <xdr:col>21</xdr:col>
      <xdr:colOff>557310</xdr:colOff>
      <xdr:row>150</xdr:row>
      <xdr:rowOff>132900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4679D8-5F8B-4B2B-8128-2A0CF9BF30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567690</xdr:colOff>
      <xdr:row>152</xdr:row>
      <xdr:rowOff>0</xdr:rowOff>
    </xdr:from>
    <xdr:to>
      <xdr:col>21</xdr:col>
      <xdr:colOff>549690</xdr:colOff>
      <xdr:row>171</xdr:row>
      <xdr:rowOff>125280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48A61AC-A900-4002-B4FD-7A69061983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11430</xdr:colOff>
      <xdr:row>172</xdr:row>
      <xdr:rowOff>167640</xdr:rowOff>
    </xdr:from>
    <xdr:to>
      <xdr:col>21</xdr:col>
      <xdr:colOff>564930</xdr:colOff>
      <xdr:row>192</xdr:row>
      <xdr:rowOff>110040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1DBF3C1-3F74-4B92-A6D8-570889FD27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11430</xdr:colOff>
      <xdr:row>47</xdr:row>
      <xdr:rowOff>0</xdr:rowOff>
    </xdr:from>
    <xdr:to>
      <xdr:col>28</xdr:col>
      <xdr:colOff>564930</xdr:colOff>
      <xdr:row>66</xdr:row>
      <xdr:rowOff>125280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044E6D-9D97-4EB3-9EDD-7C04FA921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34290</xdr:colOff>
      <xdr:row>68</xdr:row>
      <xdr:rowOff>15240</xdr:rowOff>
    </xdr:from>
    <xdr:to>
      <xdr:col>29</xdr:col>
      <xdr:colOff>16290</xdr:colOff>
      <xdr:row>87</xdr:row>
      <xdr:rowOff>140520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D72C21-EC45-44A3-94D1-452DF3814C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567690</xdr:colOff>
      <xdr:row>88</xdr:row>
      <xdr:rowOff>167640</xdr:rowOff>
    </xdr:from>
    <xdr:to>
      <xdr:col>28</xdr:col>
      <xdr:colOff>549690</xdr:colOff>
      <xdr:row>108</xdr:row>
      <xdr:rowOff>110040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5BF3D0A-EA77-4ABF-94BB-9EDCD320EE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544830</xdr:colOff>
      <xdr:row>110</xdr:row>
      <xdr:rowOff>22860</xdr:rowOff>
    </xdr:from>
    <xdr:to>
      <xdr:col>28</xdr:col>
      <xdr:colOff>526830</xdr:colOff>
      <xdr:row>129</xdr:row>
      <xdr:rowOff>148140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D67B69E-FAB0-42AF-B29C-78B28BD068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567690</xdr:colOff>
      <xdr:row>130</xdr:row>
      <xdr:rowOff>175260</xdr:rowOff>
    </xdr:from>
    <xdr:to>
      <xdr:col>28</xdr:col>
      <xdr:colOff>549690</xdr:colOff>
      <xdr:row>150</xdr:row>
      <xdr:rowOff>117660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6B1712-963A-4351-A468-761B90E68F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3810</xdr:colOff>
      <xdr:row>151</xdr:row>
      <xdr:rowOff>175260</xdr:rowOff>
    </xdr:from>
    <xdr:to>
      <xdr:col>28</xdr:col>
      <xdr:colOff>557310</xdr:colOff>
      <xdr:row>171</xdr:row>
      <xdr:rowOff>117660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7841BC6-793D-4F79-9231-A4859D3264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11430</xdr:colOff>
      <xdr:row>173</xdr:row>
      <xdr:rowOff>7620</xdr:rowOff>
    </xdr:from>
    <xdr:to>
      <xdr:col>28</xdr:col>
      <xdr:colOff>564930</xdr:colOff>
      <xdr:row>192</xdr:row>
      <xdr:rowOff>132900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83264A1-81F7-43EB-BFD4-4F62768B33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46</xdr:row>
      <xdr:rowOff>167640</xdr:rowOff>
    </xdr:from>
    <xdr:to>
      <xdr:col>21</xdr:col>
      <xdr:colOff>1050</xdr:colOff>
      <xdr:row>66</xdr:row>
      <xdr:rowOff>110040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2AC2CF-42C9-49FA-A5E5-0A042B9B07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552450</xdr:colOff>
      <xdr:row>67</xdr:row>
      <xdr:rowOff>175260</xdr:rowOff>
    </xdr:from>
    <xdr:to>
      <xdr:col>20</xdr:col>
      <xdr:colOff>534450</xdr:colOff>
      <xdr:row>87</xdr:row>
      <xdr:rowOff>117660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F08A82E-8B79-4AD3-AC7A-708961C691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567690</xdr:colOff>
      <xdr:row>89</xdr:row>
      <xdr:rowOff>15240</xdr:rowOff>
    </xdr:from>
    <xdr:to>
      <xdr:col>20</xdr:col>
      <xdr:colOff>549690</xdr:colOff>
      <xdr:row>108</xdr:row>
      <xdr:rowOff>140520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D7D2D36-4F0B-4CF9-97D0-80FD30D7F8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537210</xdr:colOff>
      <xdr:row>110</xdr:row>
      <xdr:rowOff>7620</xdr:rowOff>
    </xdr:from>
    <xdr:to>
      <xdr:col>20</xdr:col>
      <xdr:colOff>519210</xdr:colOff>
      <xdr:row>129</xdr:row>
      <xdr:rowOff>132900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2A87DD1-FD04-4C4F-9C11-1B59837685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567690</xdr:colOff>
      <xdr:row>131</xdr:row>
      <xdr:rowOff>7620</xdr:rowOff>
    </xdr:from>
    <xdr:to>
      <xdr:col>20</xdr:col>
      <xdr:colOff>549690</xdr:colOff>
      <xdr:row>150</xdr:row>
      <xdr:rowOff>132900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BAE67E-FE8A-4B50-AD0A-A5E69A4A38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567690</xdr:colOff>
      <xdr:row>152</xdr:row>
      <xdr:rowOff>15240</xdr:rowOff>
    </xdr:from>
    <xdr:to>
      <xdr:col>20</xdr:col>
      <xdr:colOff>549690</xdr:colOff>
      <xdr:row>171</xdr:row>
      <xdr:rowOff>140520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8DF585E-2EF9-49B6-9EAA-14469F83D0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552450</xdr:colOff>
      <xdr:row>173</xdr:row>
      <xdr:rowOff>22860</xdr:rowOff>
    </xdr:from>
    <xdr:to>
      <xdr:col>20</xdr:col>
      <xdr:colOff>534450</xdr:colOff>
      <xdr:row>192</xdr:row>
      <xdr:rowOff>148140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C5EEF7-168E-45A6-8FC3-C6203A397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</xdr:colOff>
      <xdr:row>47</xdr:row>
      <xdr:rowOff>22860</xdr:rowOff>
    </xdr:from>
    <xdr:to>
      <xdr:col>19</xdr:col>
      <xdr:colOff>31530</xdr:colOff>
      <xdr:row>66</xdr:row>
      <xdr:rowOff>148140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11A0F3-99FD-4FA1-8E27-9C85BDF600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567690</xdr:colOff>
      <xdr:row>67</xdr:row>
      <xdr:rowOff>167640</xdr:rowOff>
    </xdr:from>
    <xdr:to>
      <xdr:col>18</xdr:col>
      <xdr:colOff>549690</xdr:colOff>
      <xdr:row>87</xdr:row>
      <xdr:rowOff>110040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2B9FA3-CE5F-4D19-A939-5C2679E364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567690</xdr:colOff>
      <xdr:row>88</xdr:row>
      <xdr:rowOff>167640</xdr:rowOff>
    </xdr:from>
    <xdr:to>
      <xdr:col>18</xdr:col>
      <xdr:colOff>549690</xdr:colOff>
      <xdr:row>108</xdr:row>
      <xdr:rowOff>110040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88C0868-586A-4F13-96DC-791805FF40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26670</xdr:colOff>
      <xdr:row>110</xdr:row>
      <xdr:rowOff>15240</xdr:rowOff>
    </xdr:from>
    <xdr:to>
      <xdr:col>19</xdr:col>
      <xdr:colOff>8670</xdr:colOff>
      <xdr:row>129</xdr:row>
      <xdr:rowOff>140520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86BE27-458C-42A5-9DE1-DC002A98D1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3810</xdr:colOff>
      <xdr:row>131</xdr:row>
      <xdr:rowOff>30480</xdr:rowOff>
    </xdr:from>
    <xdr:to>
      <xdr:col>18</xdr:col>
      <xdr:colOff>557310</xdr:colOff>
      <xdr:row>150</xdr:row>
      <xdr:rowOff>155760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B416CF-3EBE-447D-B0E3-822E22DE7F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567690</xdr:colOff>
      <xdr:row>151</xdr:row>
      <xdr:rowOff>167640</xdr:rowOff>
    </xdr:from>
    <xdr:to>
      <xdr:col>18</xdr:col>
      <xdr:colOff>549690</xdr:colOff>
      <xdr:row>171</xdr:row>
      <xdr:rowOff>110040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FA437F-7740-4312-96FF-5E520DCA3E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11430</xdr:colOff>
      <xdr:row>173</xdr:row>
      <xdr:rowOff>0</xdr:rowOff>
    </xdr:from>
    <xdr:to>
      <xdr:col>18</xdr:col>
      <xdr:colOff>564930</xdr:colOff>
      <xdr:row>192</xdr:row>
      <xdr:rowOff>125280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ABBE423-5D69-48F1-8632-68C0D07395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</xdr:colOff>
      <xdr:row>48</xdr:row>
      <xdr:rowOff>23812</xdr:rowOff>
    </xdr:from>
    <xdr:to>
      <xdr:col>15</xdr:col>
      <xdr:colOff>561119</xdr:colOff>
      <xdr:row>67</xdr:row>
      <xdr:rowOff>149092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567690</xdr:colOff>
      <xdr:row>69</xdr:row>
      <xdr:rowOff>15240</xdr:rowOff>
    </xdr:from>
    <xdr:to>
      <xdr:col>15</xdr:col>
      <xdr:colOff>511590</xdr:colOff>
      <xdr:row>88</xdr:row>
      <xdr:rowOff>140520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11430</xdr:colOff>
      <xdr:row>90</xdr:row>
      <xdr:rowOff>15240</xdr:rowOff>
    </xdr:from>
    <xdr:to>
      <xdr:col>15</xdr:col>
      <xdr:colOff>526830</xdr:colOff>
      <xdr:row>109</xdr:row>
      <xdr:rowOff>140520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26670</xdr:colOff>
      <xdr:row>111</xdr:row>
      <xdr:rowOff>0</xdr:rowOff>
    </xdr:from>
    <xdr:to>
      <xdr:col>15</xdr:col>
      <xdr:colOff>542070</xdr:colOff>
      <xdr:row>130</xdr:row>
      <xdr:rowOff>125280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3810</xdr:colOff>
      <xdr:row>132</xdr:row>
      <xdr:rowOff>0</xdr:rowOff>
    </xdr:from>
    <xdr:to>
      <xdr:col>15</xdr:col>
      <xdr:colOff>519210</xdr:colOff>
      <xdr:row>151</xdr:row>
      <xdr:rowOff>125280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153</xdr:row>
      <xdr:rowOff>0</xdr:rowOff>
    </xdr:from>
    <xdr:to>
      <xdr:col>15</xdr:col>
      <xdr:colOff>515400</xdr:colOff>
      <xdr:row>172</xdr:row>
      <xdr:rowOff>125280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567690</xdr:colOff>
      <xdr:row>174</xdr:row>
      <xdr:rowOff>15240</xdr:rowOff>
    </xdr:from>
    <xdr:to>
      <xdr:col>15</xdr:col>
      <xdr:colOff>511590</xdr:colOff>
      <xdr:row>193</xdr:row>
      <xdr:rowOff>140520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</xdr:colOff>
      <xdr:row>48</xdr:row>
      <xdr:rowOff>0</xdr:rowOff>
    </xdr:from>
    <xdr:to>
      <xdr:col>15</xdr:col>
      <xdr:colOff>557310</xdr:colOff>
      <xdr:row>67</xdr:row>
      <xdr:rowOff>125280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</xdr:colOff>
      <xdr:row>69</xdr:row>
      <xdr:rowOff>22860</xdr:rowOff>
    </xdr:from>
    <xdr:to>
      <xdr:col>15</xdr:col>
      <xdr:colOff>557310</xdr:colOff>
      <xdr:row>88</xdr:row>
      <xdr:rowOff>148140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26670</xdr:colOff>
      <xdr:row>90</xdr:row>
      <xdr:rowOff>22860</xdr:rowOff>
    </xdr:from>
    <xdr:to>
      <xdr:col>16</xdr:col>
      <xdr:colOff>8670</xdr:colOff>
      <xdr:row>109</xdr:row>
      <xdr:rowOff>148140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11430</xdr:colOff>
      <xdr:row>111</xdr:row>
      <xdr:rowOff>7620</xdr:rowOff>
    </xdr:from>
    <xdr:to>
      <xdr:col>15</xdr:col>
      <xdr:colOff>564930</xdr:colOff>
      <xdr:row>130</xdr:row>
      <xdr:rowOff>132900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3810</xdr:colOff>
      <xdr:row>132</xdr:row>
      <xdr:rowOff>22860</xdr:rowOff>
    </xdr:from>
    <xdr:to>
      <xdr:col>15</xdr:col>
      <xdr:colOff>557310</xdr:colOff>
      <xdr:row>151</xdr:row>
      <xdr:rowOff>148140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11430</xdr:colOff>
      <xdr:row>153</xdr:row>
      <xdr:rowOff>7620</xdr:rowOff>
    </xdr:from>
    <xdr:to>
      <xdr:col>15</xdr:col>
      <xdr:colOff>564930</xdr:colOff>
      <xdr:row>172</xdr:row>
      <xdr:rowOff>132900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19050</xdr:colOff>
      <xdr:row>174</xdr:row>
      <xdr:rowOff>15240</xdr:rowOff>
    </xdr:from>
    <xdr:to>
      <xdr:col>16</xdr:col>
      <xdr:colOff>1050</xdr:colOff>
      <xdr:row>193</xdr:row>
      <xdr:rowOff>140520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7626</xdr:colOff>
      <xdr:row>48</xdr:row>
      <xdr:rowOff>7620</xdr:rowOff>
    </xdr:from>
    <xdr:to>
      <xdr:col>15</xdr:col>
      <xdr:colOff>561126</xdr:colOff>
      <xdr:row>67</xdr:row>
      <xdr:rowOff>132900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</xdr:colOff>
      <xdr:row>69</xdr:row>
      <xdr:rowOff>15240</xdr:rowOff>
    </xdr:from>
    <xdr:to>
      <xdr:col>16</xdr:col>
      <xdr:colOff>1050</xdr:colOff>
      <xdr:row>88</xdr:row>
      <xdr:rowOff>140520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567690</xdr:colOff>
      <xdr:row>90</xdr:row>
      <xdr:rowOff>0</xdr:rowOff>
    </xdr:from>
    <xdr:to>
      <xdr:col>15</xdr:col>
      <xdr:colOff>549690</xdr:colOff>
      <xdr:row>109</xdr:row>
      <xdr:rowOff>125280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560070</xdr:colOff>
      <xdr:row>111</xdr:row>
      <xdr:rowOff>7620</xdr:rowOff>
    </xdr:from>
    <xdr:to>
      <xdr:col>15</xdr:col>
      <xdr:colOff>542070</xdr:colOff>
      <xdr:row>130</xdr:row>
      <xdr:rowOff>132900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11430</xdr:colOff>
      <xdr:row>132</xdr:row>
      <xdr:rowOff>15240</xdr:rowOff>
    </xdr:from>
    <xdr:to>
      <xdr:col>15</xdr:col>
      <xdr:colOff>564930</xdr:colOff>
      <xdr:row>151</xdr:row>
      <xdr:rowOff>140520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19050</xdr:colOff>
      <xdr:row>153</xdr:row>
      <xdr:rowOff>7620</xdr:rowOff>
    </xdr:from>
    <xdr:to>
      <xdr:col>16</xdr:col>
      <xdr:colOff>1050</xdr:colOff>
      <xdr:row>172</xdr:row>
      <xdr:rowOff>132900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11430</xdr:colOff>
      <xdr:row>174</xdr:row>
      <xdr:rowOff>7620</xdr:rowOff>
    </xdr:from>
    <xdr:to>
      <xdr:col>15</xdr:col>
      <xdr:colOff>564930</xdr:colOff>
      <xdr:row>193</xdr:row>
      <xdr:rowOff>132900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49</xdr:row>
      <xdr:rowOff>7620</xdr:rowOff>
    </xdr:from>
    <xdr:to>
      <xdr:col>15</xdr:col>
      <xdr:colOff>439200</xdr:colOff>
      <xdr:row>68</xdr:row>
      <xdr:rowOff>132900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15240</xdr:colOff>
      <xdr:row>69</xdr:row>
      <xdr:rowOff>175260</xdr:rowOff>
    </xdr:from>
    <xdr:to>
      <xdr:col>15</xdr:col>
      <xdr:colOff>454440</xdr:colOff>
      <xdr:row>89</xdr:row>
      <xdr:rowOff>117660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91</xdr:row>
      <xdr:rowOff>15240</xdr:rowOff>
    </xdr:from>
    <xdr:to>
      <xdr:col>15</xdr:col>
      <xdr:colOff>439200</xdr:colOff>
      <xdr:row>110</xdr:row>
      <xdr:rowOff>140520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53340</xdr:colOff>
      <xdr:row>112</xdr:row>
      <xdr:rowOff>22860</xdr:rowOff>
    </xdr:from>
    <xdr:to>
      <xdr:col>15</xdr:col>
      <xdr:colOff>492540</xdr:colOff>
      <xdr:row>131</xdr:row>
      <xdr:rowOff>148140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15240</xdr:colOff>
      <xdr:row>133</xdr:row>
      <xdr:rowOff>30480</xdr:rowOff>
    </xdr:from>
    <xdr:to>
      <xdr:col>15</xdr:col>
      <xdr:colOff>454440</xdr:colOff>
      <xdr:row>152</xdr:row>
      <xdr:rowOff>155760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563880</xdr:colOff>
      <xdr:row>153</xdr:row>
      <xdr:rowOff>175260</xdr:rowOff>
    </xdr:from>
    <xdr:to>
      <xdr:col>15</xdr:col>
      <xdr:colOff>431580</xdr:colOff>
      <xdr:row>173</xdr:row>
      <xdr:rowOff>117660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7620</xdr:colOff>
      <xdr:row>175</xdr:row>
      <xdr:rowOff>7620</xdr:rowOff>
    </xdr:from>
    <xdr:to>
      <xdr:col>15</xdr:col>
      <xdr:colOff>446820</xdr:colOff>
      <xdr:row>194</xdr:row>
      <xdr:rowOff>132900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</xdr:colOff>
      <xdr:row>47</xdr:row>
      <xdr:rowOff>30480</xdr:rowOff>
    </xdr:from>
    <xdr:to>
      <xdr:col>23</xdr:col>
      <xdr:colOff>144780</xdr:colOff>
      <xdr:row>66</xdr:row>
      <xdr:rowOff>155760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68</xdr:row>
      <xdr:rowOff>15240</xdr:rowOff>
    </xdr:from>
    <xdr:to>
      <xdr:col>23</xdr:col>
      <xdr:colOff>1050</xdr:colOff>
      <xdr:row>87</xdr:row>
      <xdr:rowOff>140520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3810</xdr:colOff>
      <xdr:row>89</xdr:row>
      <xdr:rowOff>22860</xdr:rowOff>
    </xdr:from>
    <xdr:to>
      <xdr:col>22</xdr:col>
      <xdr:colOff>557310</xdr:colOff>
      <xdr:row>108</xdr:row>
      <xdr:rowOff>148140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548638</xdr:colOff>
      <xdr:row>110</xdr:row>
      <xdr:rowOff>22860</xdr:rowOff>
    </xdr:from>
    <xdr:to>
      <xdr:col>22</xdr:col>
      <xdr:colOff>530638</xdr:colOff>
      <xdr:row>129</xdr:row>
      <xdr:rowOff>148140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567690</xdr:colOff>
      <xdr:row>131</xdr:row>
      <xdr:rowOff>22860</xdr:rowOff>
    </xdr:from>
    <xdr:to>
      <xdr:col>22</xdr:col>
      <xdr:colOff>549690</xdr:colOff>
      <xdr:row>150</xdr:row>
      <xdr:rowOff>148140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34290</xdr:colOff>
      <xdr:row>152</xdr:row>
      <xdr:rowOff>22860</xdr:rowOff>
    </xdr:from>
    <xdr:to>
      <xdr:col>23</xdr:col>
      <xdr:colOff>16290</xdr:colOff>
      <xdr:row>171</xdr:row>
      <xdr:rowOff>148140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26670</xdr:colOff>
      <xdr:row>173</xdr:row>
      <xdr:rowOff>15240</xdr:rowOff>
    </xdr:from>
    <xdr:to>
      <xdr:col>23</xdr:col>
      <xdr:colOff>8670</xdr:colOff>
      <xdr:row>192</xdr:row>
      <xdr:rowOff>140520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48</xdr:row>
      <xdr:rowOff>7620</xdr:rowOff>
    </xdr:from>
    <xdr:to>
      <xdr:col>15</xdr:col>
      <xdr:colOff>553500</xdr:colOff>
      <xdr:row>67</xdr:row>
      <xdr:rowOff>132900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556260</xdr:colOff>
      <xdr:row>68</xdr:row>
      <xdr:rowOff>167640</xdr:rowOff>
    </xdr:from>
    <xdr:to>
      <xdr:col>15</xdr:col>
      <xdr:colOff>538260</xdr:colOff>
      <xdr:row>88</xdr:row>
      <xdr:rowOff>110040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90</xdr:row>
      <xdr:rowOff>15240</xdr:rowOff>
    </xdr:from>
    <xdr:to>
      <xdr:col>15</xdr:col>
      <xdr:colOff>553500</xdr:colOff>
      <xdr:row>109</xdr:row>
      <xdr:rowOff>140520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22860</xdr:colOff>
      <xdr:row>111</xdr:row>
      <xdr:rowOff>22860</xdr:rowOff>
    </xdr:from>
    <xdr:to>
      <xdr:col>16</xdr:col>
      <xdr:colOff>4860</xdr:colOff>
      <xdr:row>130</xdr:row>
      <xdr:rowOff>148140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132</xdr:row>
      <xdr:rowOff>0</xdr:rowOff>
    </xdr:from>
    <xdr:to>
      <xdr:col>15</xdr:col>
      <xdr:colOff>553500</xdr:colOff>
      <xdr:row>151</xdr:row>
      <xdr:rowOff>125280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7620</xdr:colOff>
      <xdr:row>153</xdr:row>
      <xdr:rowOff>7620</xdr:rowOff>
    </xdr:from>
    <xdr:to>
      <xdr:col>15</xdr:col>
      <xdr:colOff>561120</xdr:colOff>
      <xdr:row>172</xdr:row>
      <xdr:rowOff>132900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7620</xdr:colOff>
      <xdr:row>174</xdr:row>
      <xdr:rowOff>0</xdr:rowOff>
    </xdr:from>
    <xdr:to>
      <xdr:col>15</xdr:col>
      <xdr:colOff>561120</xdr:colOff>
      <xdr:row>193</xdr:row>
      <xdr:rowOff>125280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incoln Ribeiro" id="{71ED8CC6-550F-445B-97A7-D0919985304E}" userId="84ee3ef12372d46a" providerId="Windows Live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0" dT="2019-01-11T13:52:27.07" personId="{71ED8CC6-550F-445B-97A7-D0919985304E}" id="{B8FFCDBE-AF0D-49ED-9EE9-DFDD6CCD882B}">
    <text>Resultado discrepante devido às contas: Empresas participadas 1027,882 e Depósitos bancários e caixa 404.283 
*Em milhares de escudos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0.xml"/><Relationship Id="rId4" Type="http://schemas.microsoft.com/office/2017/10/relationships/threadedComment" Target="../threadedComments/threadedComment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81721-5819-43C2-A293-666E7FEE7CDB}">
  <sheetPr codeName="Planilha4"/>
  <dimension ref="A3:AN51"/>
  <sheetViews>
    <sheetView zoomScaleNormal="100" workbookViewId="0">
      <selection activeCell="C26" sqref="C26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40" width="8.33203125" customWidth="1"/>
  </cols>
  <sheetData>
    <row r="3" spans="1:40" s="10" customFormat="1" x14ac:dyDescent="0.3">
      <c r="A3" s="9" t="s">
        <v>25</v>
      </c>
      <c r="B3" s="8" t="s">
        <v>23</v>
      </c>
      <c r="C3" s="9" t="s">
        <v>24</v>
      </c>
      <c r="D3" s="8">
        <v>85</v>
      </c>
      <c r="E3" s="8">
        <v>86</v>
      </c>
      <c r="F3" s="8">
        <v>87</v>
      </c>
      <c r="G3" s="8">
        <v>88</v>
      </c>
      <c r="H3" s="8">
        <v>89</v>
      </c>
      <c r="I3" s="8">
        <v>90</v>
      </c>
      <c r="J3" s="8">
        <v>91</v>
      </c>
      <c r="K3" s="8">
        <v>92</v>
      </c>
      <c r="L3" s="8">
        <v>93</v>
      </c>
      <c r="M3" s="8">
        <v>94</v>
      </c>
      <c r="N3" s="8">
        <v>95</v>
      </c>
      <c r="O3" s="8">
        <v>96</v>
      </c>
      <c r="P3" s="8">
        <v>97</v>
      </c>
      <c r="Q3" s="8">
        <v>98</v>
      </c>
      <c r="R3" s="8">
        <v>99</v>
      </c>
      <c r="S3" s="8">
        <v>2000</v>
      </c>
      <c r="T3" s="8">
        <v>1</v>
      </c>
      <c r="U3" s="8">
        <v>2</v>
      </c>
      <c r="V3" s="8">
        <v>3</v>
      </c>
      <c r="W3" s="8">
        <v>4</v>
      </c>
      <c r="X3" s="8">
        <v>5</v>
      </c>
      <c r="Y3" s="8">
        <v>6</v>
      </c>
      <c r="Z3" s="8">
        <v>7</v>
      </c>
      <c r="AA3" s="8">
        <v>8</v>
      </c>
      <c r="AB3" s="8">
        <v>9</v>
      </c>
      <c r="AC3" s="8">
        <v>10</v>
      </c>
      <c r="AD3" s="8">
        <v>11</v>
      </c>
      <c r="AE3" s="8">
        <v>12</v>
      </c>
      <c r="AF3" s="8">
        <v>13</v>
      </c>
      <c r="AG3" s="8">
        <v>14</v>
      </c>
      <c r="AH3" s="8">
        <v>15</v>
      </c>
      <c r="AI3" s="8">
        <v>16</v>
      </c>
      <c r="AJ3" s="8">
        <v>17</v>
      </c>
      <c r="AK3" s="8" t="s">
        <v>0</v>
      </c>
      <c r="AL3" s="8" t="s">
        <v>1</v>
      </c>
      <c r="AM3" s="8" t="s">
        <v>2</v>
      </c>
      <c r="AN3" s="8" t="s">
        <v>3</v>
      </c>
    </row>
    <row r="4" spans="1:40" x14ac:dyDescent="0.3">
      <c r="A4" s="4" t="s">
        <v>5</v>
      </c>
      <c r="B4" s="11">
        <v>1</v>
      </c>
      <c r="C4" s="6" t="s">
        <v>4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</row>
    <row r="5" spans="1:40" x14ac:dyDescent="0.3">
      <c r="A5" s="5" t="s">
        <v>8</v>
      </c>
      <c r="B5" s="12">
        <v>3</v>
      </c>
      <c r="C5" s="1" t="s">
        <v>86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</row>
    <row r="7" spans="1:40" x14ac:dyDescent="0.3">
      <c r="A7" s="101"/>
      <c r="B7" s="13">
        <v>5</v>
      </c>
      <c r="C7" s="1" t="s">
        <v>9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x14ac:dyDescent="0.3">
      <c r="A8" s="101"/>
      <c r="B8" s="13">
        <v>6</v>
      </c>
      <c r="C8" s="6" t="s">
        <v>10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</row>
    <row r="9" spans="1:40" x14ac:dyDescent="0.3">
      <c r="A9" s="101"/>
      <c r="B9" s="13">
        <v>11</v>
      </c>
      <c r="C9" s="1" t="s">
        <v>11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pans="1:40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</row>
    <row r="11" spans="1:40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</row>
    <row r="13" spans="1:40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</row>
    <row r="15" spans="1:40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</row>
    <row r="17" spans="1:40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x14ac:dyDescent="0.3">
      <c r="A18" s="103"/>
      <c r="B18" s="14">
        <v>15</v>
      </c>
      <c r="C18" s="6" t="s">
        <v>19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</row>
    <row r="19" spans="1:40" x14ac:dyDescent="0.3">
      <c r="A19" s="103"/>
      <c r="B19" s="14">
        <v>18</v>
      </c>
      <c r="C19" s="1" t="s">
        <v>21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</row>
    <row r="21" spans="1:40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</row>
    <row r="23" spans="1:40" x14ac:dyDescent="0.3">
      <c r="A23" s="103"/>
      <c r="B23" s="14">
        <v>16</v>
      </c>
      <c r="C23" s="1" t="s">
        <v>20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5" spans="1:40" x14ac:dyDescent="0.3">
      <c r="A25" s="9" t="s">
        <v>71</v>
      </c>
      <c r="B25" s="8"/>
      <c r="C25" s="9" t="s">
        <v>26</v>
      </c>
      <c r="D25" s="8">
        <v>85</v>
      </c>
      <c r="E25" s="8">
        <v>86</v>
      </c>
      <c r="F25" s="8">
        <v>87</v>
      </c>
      <c r="G25" s="8">
        <v>88</v>
      </c>
      <c r="H25" s="8">
        <v>89</v>
      </c>
      <c r="I25" s="8">
        <v>90</v>
      </c>
      <c r="J25" s="8">
        <v>91</v>
      </c>
      <c r="K25" s="8">
        <v>92</v>
      </c>
      <c r="L25" s="8">
        <v>93</v>
      </c>
      <c r="M25" s="8">
        <v>94</v>
      </c>
      <c r="N25" s="8">
        <v>95</v>
      </c>
      <c r="O25" s="8">
        <v>96</v>
      </c>
      <c r="P25" s="8">
        <v>97</v>
      </c>
      <c r="Q25" s="8">
        <v>98</v>
      </c>
      <c r="R25" s="8">
        <v>99</v>
      </c>
      <c r="S25" s="8">
        <v>2000</v>
      </c>
      <c r="T25" s="8">
        <v>1</v>
      </c>
      <c r="U25" s="8">
        <v>2</v>
      </c>
      <c r="V25" s="8">
        <v>3</v>
      </c>
      <c r="W25" s="8">
        <v>4</v>
      </c>
      <c r="X25" s="8">
        <v>5</v>
      </c>
      <c r="Y25" s="8">
        <v>6</v>
      </c>
      <c r="Z25" s="8">
        <v>7</v>
      </c>
      <c r="AA25" s="8">
        <v>8</v>
      </c>
      <c r="AB25" s="8">
        <v>9</v>
      </c>
      <c r="AC25" s="8">
        <v>10</v>
      </c>
      <c r="AD25" s="8">
        <v>11</v>
      </c>
      <c r="AE25" s="8">
        <v>12</v>
      </c>
      <c r="AF25" s="8">
        <v>13</v>
      </c>
      <c r="AG25" s="8">
        <v>14</v>
      </c>
      <c r="AH25" s="8">
        <v>15</v>
      </c>
      <c r="AI25" s="8">
        <v>16</v>
      </c>
      <c r="AJ25" s="8">
        <v>17</v>
      </c>
      <c r="AK25" s="8" t="s">
        <v>0</v>
      </c>
      <c r="AL25" s="8" t="s">
        <v>1</v>
      </c>
      <c r="AM25" s="8" t="s">
        <v>2</v>
      </c>
      <c r="AN25" s="8" t="s">
        <v>3</v>
      </c>
    </row>
    <row r="26" spans="1:40" x14ac:dyDescent="0.3">
      <c r="A26" s="6" t="s">
        <v>65</v>
      </c>
      <c r="B26" s="17" t="s">
        <v>27</v>
      </c>
      <c r="C26" s="6" t="s">
        <v>85</v>
      </c>
      <c r="D26" s="7">
        <f>D4*D5</f>
        <v>0</v>
      </c>
      <c r="E26" s="7">
        <f t="shared" ref="E26:AN26" si="0">E4*E5</f>
        <v>0</v>
      </c>
      <c r="F26" s="7">
        <f t="shared" si="0"/>
        <v>0</v>
      </c>
      <c r="G26" s="7">
        <f t="shared" si="0"/>
        <v>0</v>
      </c>
      <c r="H26" s="7">
        <f t="shared" si="0"/>
        <v>0</v>
      </c>
      <c r="I26" s="7">
        <f t="shared" si="0"/>
        <v>0</v>
      </c>
      <c r="J26" s="7">
        <f t="shared" si="0"/>
        <v>0</v>
      </c>
      <c r="K26" s="7">
        <f t="shared" si="0"/>
        <v>0</v>
      </c>
      <c r="L26" s="7">
        <f t="shared" si="0"/>
        <v>0</v>
      </c>
      <c r="M26" s="7">
        <f t="shared" si="0"/>
        <v>0</v>
      </c>
      <c r="N26" s="7">
        <f t="shared" si="0"/>
        <v>0</v>
      </c>
      <c r="O26" s="7">
        <f t="shared" si="0"/>
        <v>0</v>
      </c>
      <c r="P26" s="7">
        <f t="shared" si="0"/>
        <v>0</v>
      </c>
      <c r="Q26" s="7">
        <f t="shared" si="0"/>
        <v>0</v>
      </c>
      <c r="R26" s="7">
        <f t="shared" si="0"/>
        <v>0</v>
      </c>
      <c r="S26" s="7">
        <f t="shared" si="0"/>
        <v>0</v>
      </c>
      <c r="T26" s="7">
        <f t="shared" si="0"/>
        <v>0</v>
      </c>
      <c r="U26" s="7">
        <f t="shared" si="0"/>
        <v>0</v>
      </c>
      <c r="V26" s="7">
        <f t="shared" si="0"/>
        <v>0</v>
      </c>
      <c r="W26" s="7">
        <f t="shared" si="0"/>
        <v>0</v>
      </c>
      <c r="X26" s="7">
        <f t="shared" si="0"/>
        <v>0</v>
      </c>
      <c r="Y26" s="7">
        <f t="shared" si="0"/>
        <v>0</v>
      </c>
      <c r="Z26" s="7">
        <f t="shared" si="0"/>
        <v>0</v>
      </c>
      <c r="AA26" s="7">
        <f t="shared" si="0"/>
        <v>0</v>
      </c>
      <c r="AB26" s="7">
        <f t="shared" si="0"/>
        <v>0</v>
      </c>
      <c r="AC26" s="7">
        <f t="shared" si="0"/>
        <v>0</v>
      </c>
      <c r="AD26" s="7">
        <f t="shared" si="0"/>
        <v>0</v>
      </c>
      <c r="AE26" s="7">
        <f t="shared" si="0"/>
        <v>0</v>
      </c>
      <c r="AF26" s="7">
        <f t="shared" si="0"/>
        <v>0</v>
      </c>
      <c r="AG26" s="7">
        <f t="shared" si="0"/>
        <v>0</v>
      </c>
      <c r="AH26" s="7">
        <f t="shared" si="0"/>
        <v>0</v>
      </c>
      <c r="AI26" s="7">
        <f t="shared" si="0"/>
        <v>0</v>
      </c>
      <c r="AJ26" s="7">
        <f t="shared" si="0"/>
        <v>0</v>
      </c>
      <c r="AK26" s="7">
        <f t="shared" si="0"/>
        <v>0</v>
      </c>
      <c r="AL26" s="7">
        <f t="shared" si="0"/>
        <v>0</v>
      </c>
      <c r="AM26" s="7">
        <f t="shared" si="0"/>
        <v>0</v>
      </c>
      <c r="AN26" s="7">
        <f t="shared" si="0"/>
        <v>0</v>
      </c>
    </row>
    <row r="27" spans="1:40" x14ac:dyDescent="0.3">
      <c r="A27" s="1" t="s">
        <v>66</v>
      </c>
      <c r="B27" s="2" t="s">
        <v>28</v>
      </c>
      <c r="C27" s="1" t="s">
        <v>47</v>
      </c>
      <c r="D27" s="30" t="e">
        <f>D26/D6</f>
        <v>#DIV/0!</v>
      </c>
      <c r="E27" s="30" t="e">
        <f t="shared" ref="E27:AN27" si="1">E26/E6</f>
        <v>#DIV/0!</v>
      </c>
      <c r="F27" s="30" t="e">
        <f t="shared" si="1"/>
        <v>#DIV/0!</v>
      </c>
      <c r="G27" s="30" t="e">
        <f t="shared" si="1"/>
        <v>#DIV/0!</v>
      </c>
      <c r="H27" s="30" t="e">
        <f t="shared" si="1"/>
        <v>#DIV/0!</v>
      </c>
      <c r="I27" s="30" t="e">
        <f t="shared" si="1"/>
        <v>#DIV/0!</v>
      </c>
      <c r="J27" s="30" t="e">
        <f t="shared" si="1"/>
        <v>#DIV/0!</v>
      </c>
      <c r="K27" s="30" t="e">
        <f t="shared" si="1"/>
        <v>#DIV/0!</v>
      </c>
      <c r="L27" s="30" t="e">
        <f t="shared" si="1"/>
        <v>#DIV/0!</v>
      </c>
      <c r="M27" s="30" t="e">
        <f t="shared" si="1"/>
        <v>#DIV/0!</v>
      </c>
      <c r="N27" s="30" t="e">
        <f t="shared" si="1"/>
        <v>#DIV/0!</v>
      </c>
      <c r="O27" s="30" t="e">
        <f t="shared" si="1"/>
        <v>#DIV/0!</v>
      </c>
      <c r="P27" s="30" t="e">
        <f t="shared" si="1"/>
        <v>#DIV/0!</v>
      </c>
      <c r="Q27" s="30" t="e">
        <f t="shared" si="1"/>
        <v>#DIV/0!</v>
      </c>
      <c r="R27" s="30" t="e">
        <f t="shared" si="1"/>
        <v>#DIV/0!</v>
      </c>
      <c r="S27" s="30" t="e">
        <f t="shared" si="1"/>
        <v>#DIV/0!</v>
      </c>
      <c r="T27" s="30" t="e">
        <f t="shared" si="1"/>
        <v>#DIV/0!</v>
      </c>
      <c r="U27" s="30" t="e">
        <f t="shared" si="1"/>
        <v>#DIV/0!</v>
      </c>
      <c r="V27" s="30" t="e">
        <f t="shared" si="1"/>
        <v>#DIV/0!</v>
      </c>
      <c r="W27" s="30" t="e">
        <f t="shared" si="1"/>
        <v>#DIV/0!</v>
      </c>
      <c r="X27" s="30" t="e">
        <f t="shared" si="1"/>
        <v>#DIV/0!</v>
      </c>
      <c r="Y27" s="30" t="e">
        <f t="shared" si="1"/>
        <v>#DIV/0!</v>
      </c>
      <c r="Z27" s="30" t="e">
        <f t="shared" si="1"/>
        <v>#DIV/0!</v>
      </c>
      <c r="AA27" s="30" t="e">
        <f t="shared" si="1"/>
        <v>#DIV/0!</v>
      </c>
      <c r="AB27" s="30" t="e">
        <f t="shared" si="1"/>
        <v>#DIV/0!</v>
      </c>
      <c r="AC27" s="30" t="e">
        <f t="shared" si="1"/>
        <v>#DIV/0!</v>
      </c>
      <c r="AD27" s="30" t="e">
        <f t="shared" si="1"/>
        <v>#DIV/0!</v>
      </c>
      <c r="AE27" s="30" t="e">
        <f t="shared" si="1"/>
        <v>#DIV/0!</v>
      </c>
      <c r="AF27" s="30" t="e">
        <f t="shared" si="1"/>
        <v>#DIV/0!</v>
      </c>
      <c r="AG27" s="30" t="e">
        <f t="shared" si="1"/>
        <v>#DIV/0!</v>
      </c>
      <c r="AH27" s="30" t="e">
        <f t="shared" si="1"/>
        <v>#DIV/0!</v>
      </c>
      <c r="AI27" s="30" t="e">
        <f t="shared" si="1"/>
        <v>#DIV/0!</v>
      </c>
      <c r="AJ27" s="30" t="e">
        <f t="shared" si="1"/>
        <v>#DIV/0!</v>
      </c>
      <c r="AK27" s="30" t="e">
        <f t="shared" si="1"/>
        <v>#DIV/0!</v>
      </c>
      <c r="AL27" s="30" t="e">
        <f t="shared" si="1"/>
        <v>#DIV/0!</v>
      </c>
      <c r="AM27" s="30" t="e">
        <f t="shared" si="1"/>
        <v>#DIV/0!</v>
      </c>
      <c r="AN27" s="30" t="e">
        <f t="shared" si="1"/>
        <v>#DIV/0!</v>
      </c>
    </row>
    <row r="28" spans="1:40" x14ac:dyDescent="0.3">
      <c r="A28" s="6" t="s">
        <v>67</v>
      </c>
      <c r="B28" s="17" t="s">
        <v>29</v>
      </c>
      <c r="C28" s="6" t="s">
        <v>48</v>
      </c>
      <c r="D28" s="29" t="e">
        <f>D26/D7</f>
        <v>#DIV/0!</v>
      </c>
      <c r="E28" s="29" t="e">
        <f t="shared" ref="E28:AN28" si="2">E26/E7</f>
        <v>#DIV/0!</v>
      </c>
      <c r="F28" s="29" t="e">
        <f t="shared" si="2"/>
        <v>#DIV/0!</v>
      </c>
      <c r="G28" s="29" t="e">
        <f t="shared" si="2"/>
        <v>#DIV/0!</v>
      </c>
      <c r="H28" s="29" t="e">
        <f t="shared" si="2"/>
        <v>#DIV/0!</v>
      </c>
      <c r="I28" s="29" t="e">
        <f t="shared" si="2"/>
        <v>#DIV/0!</v>
      </c>
      <c r="J28" s="29" t="e">
        <f t="shared" si="2"/>
        <v>#DIV/0!</v>
      </c>
      <c r="K28" s="29" t="e">
        <f t="shared" si="2"/>
        <v>#DIV/0!</v>
      </c>
      <c r="L28" s="29" t="e">
        <f t="shared" si="2"/>
        <v>#DIV/0!</v>
      </c>
      <c r="M28" s="29" t="e">
        <f t="shared" si="2"/>
        <v>#DIV/0!</v>
      </c>
      <c r="N28" s="29" t="e">
        <f t="shared" si="2"/>
        <v>#DIV/0!</v>
      </c>
      <c r="O28" s="29" t="e">
        <f t="shared" si="2"/>
        <v>#DIV/0!</v>
      </c>
      <c r="P28" s="29" t="e">
        <f t="shared" si="2"/>
        <v>#DIV/0!</v>
      </c>
      <c r="Q28" s="29" t="e">
        <f t="shared" si="2"/>
        <v>#DIV/0!</v>
      </c>
      <c r="R28" s="29" t="e">
        <f t="shared" si="2"/>
        <v>#DIV/0!</v>
      </c>
      <c r="S28" s="29" t="e">
        <f t="shared" si="2"/>
        <v>#DIV/0!</v>
      </c>
      <c r="T28" s="29" t="e">
        <f t="shared" si="2"/>
        <v>#DIV/0!</v>
      </c>
      <c r="U28" s="29" t="e">
        <f t="shared" si="2"/>
        <v>#DIV/0!</v>
      </c>
      <c r="V28" s="29" t="e">
        <f t="shared" si="2"/>
        <v>#DIV/0!</v>
      </c>
      <c r="W28" s="29" t="e">
        <f t="shared" si="2"/>
        <v>#DIV/0!</v>
      </c>
      <c r="X28" s="29" t="e">
        <f t="shared" si="2"/>
        <v>#DIV/0!</v>
      </c>
      <c r="Y28" s="29" t="e">
        <f t="shared" si="2"/>
        <v>#DIV/0!</v>
      </c>
      <c r="Z28" s="29" t="e">
        <f t="shared" si="2"/>
        <v>#DIV/0!</v>
      </c>
      <c r="AA28" s="29" t="e">
        <f t="shared" si="2"/>
        <v>#DIV/0!</v>
      </c>
      <c r="AB28" s="29" t="e">
        <f t="shared" si="2"/>
        <v>#DIV/0!</v>
      </c>
      <c r="AC28" s="29" t="e">
        <f t="shared" si="2"/>
        <v>#DIV/0!</v>
      </c>
      <c r="AD28" s="29" t="e">
        <f t="shared" si="2"/>
        <v>#DIV/0!</v>
      </c>
      <c r="AE28" s="29" t="e">
        <f t="shared" si="2"/>
        <v>#DIV/0!</v>
      </c>
      <c r="AF28" s="29" t="e">
        <f t="shared" si="2"/>
        <v>#DIV/0!</v>
      </c>
      <c r="AG28" s="29" t="e">
        <f t="shared" si="2"/>
        <v>#DIV/0!</v>
      </c>
      <c r="AH28" s="29" t="e">
        <f t="shared" si="2"/>
        <v>#DIV/0!</v>
      </c>
      <c r="AI28" s="29" t="e">
        <f t="shared" si="2"/>
        <v>#DIV/0!</v>
      </c>
      <c r="AJ28" s="29" t="e">
        <f t="shared" si="2"/>
        <v>#DIV/0!</v>
      </c>
      <c r="AK28" s="29" t="e">
        <f t="shared" si="2"/>
        <v>#DIV/0!</v>
      </c>
      <c r="AL28" s="29" t="e">
        <f t="shared" si="2"/>
        <v>#DIV/0!</v>
      </c>
      <c r="AM28" s="29" t="e">
        <f t="shared" si="2"/>
        <v>#DIV/0!</v>
      </c>
      <c r="AN28" s="29" t="e">
        <f t="shared" si="2"/>
        <v>#DIV/0!</v>
      </c>
    </row>
    <row r="29" spans="1:40" x14ac:dyDescent="0.3">
      <c r="A29" s="15" t="s">
        <v>68</v>
      </c>
      <c r="B29" s="2" t="s">
        <v>30</v>
      </c>
      <c r="C29" s="1" t="s">
        <v>49</v>
      </c>
      <c r="D29" s="3">
        <f>D15-D14</f>
        <v>0</v>
      </c>
      <c r="E29" s="3">
        <f t="shared" ref="E29:AN29" si="3">E15-E14</f>
        <v>0</v>
      </c>
      <c r="F29" s="3">
        <f t="shared" si="3"/>
        <v>0</v>
      </c>
      <c r="G29" s="3">
        <f t="shared" si="3"/>
        <v>0</v>
      </c>
      <c r="H29" s="3">
        <f t="shared" si="3"/>
        <v>0</v>
      </c>
      <c r="I29" s="3">
        <f t="shared" si="3"/>
        <v>0</v>
      </c>
      <c r="J29" s="3">
        <f t="shared" si="3"/>
        <v>0</v>
      </c>
      <c r="K29" s="3">
        <f t="shared" si="3"/>
        <v>0</v>
      </c>
      <c r="L29" s="3">
        <f t="shared" si="3"/>
        <v>0</v>
      </c>
      <c r="M29" s="3">
        <f t="shared" si="3"/>
        <v>0</v>
      </c>
      <c r="N29" s="3">
        <f t="shared" si="3"/>
        <v>0</v>
      </c>
      <c r="O29" s="3">
        <f t="shared" si="3"/>
        <v>0</v>
      </c>
      <c r="P29" s="3">
        <f t="shared" si="3"/>
        <v>0</v>
      </c>
      <c r="Q29" s="3">
        <f t="shared" si="3"/>
        <v>0</v>
      </c>
      <c r="R29" s="3">
        <f t="shared" si="3"/>
        <v>0</v>
      </c>
      <c r="S29" s="3">
        <f t="shared" si="3"/>
        <v>0</v>
      </c>
      <c r="T29" s="3">
        <f t="shared" si="3"/>
        <v>0</v>
      </c>
      <c r="U29" s="3">
        <f t="shared" si="3"/>
        <v>0</v>
      </c>
      <c r="V29" s="3">
        <f t="shared" si="3"/>
        <v>0</v>
      </c>
      <c r="W29" s="3">
        <f t="shared" si="3"/>
        <v>0</v>
      </c>
      <c r="X29" s="3">
        <f t="shared" si="3"/>
        <v>0</v>
      </c>
      <c r="Y29" s="3">
        <f t="shared" si="3"/>
        <v>0</v>
      </c>
      <c r="Z29" s="3">
        <f t="shared" si="3"/>
        <v>0</v>
      </c>
      <c r="AA29" s="3">
        <f t="shared" si="3"/>
        <v>0</v>
      </c>
      <c r="AB29" s="3">
        <f t="shared" si="3"/>
        <v>0</v>
      </c>
      <c r="AC29" s="3">
        <f t="shared" si="3"/>
        <v>0</v>
      </c>
      <c r="AD29" s="3">
        <f t="shared" si="3"/>
        <v>0</v>
      </c>
      <c r="AE29" s="3">
        <f t="shared" si="3"/>
        <v>0</v>
      </c>
      <c r="AF29" s="3">
        <f t="shared" si="3"/>
        <v>0</v>
      </c>
      <c r="AG29" s="3">
        <f t="shared" si="3"/>
        <v>0</v>
      </c>
      <c r="AH29" s="3">
        <f t="shared" si="3"/>
        <v>0</v>
      </c>
      <c r="AI29" s="3">
        <f t="shared" si="3"/>
        <v>0</v>
      </c>
      <c r="AJ29" s="3">
        <f t="shared" si="3"/>
        <v>0</v>
      </c>
      <c r="AK29" s="3">
        <f t="shared" si="3"/>
        <v>0</v>
      </c>
      <c r="AL29" s="3">
        <f t="shared" si="3"/>
        <v>0</v>
      </c>
      <c r="AM29" s="3">
        <f t="shared" si="3"/>
        <v>0</v>
      </c>
      <c r="AN29" s="3">
        <f t="shared" si="3"/>
        <v>0</v>
      </c>
    </row>
    <row r="30" spans="1:40" x14ac:dyDescent="0.3">
      <c r="A30" s="6" t="s">
        <v>69</v>
      </c>
      <c r="B30" s="17" t="s">
        <v>31</v>
      </c>
      <c r="C30" s="6" t="s">
        <v>50</v>
      </c>
      <c r="D30" s="7">
        <f>D26+D29+D16+D17</f>
        <v>0</v>
      </c>
      <c r="E30" s="7">
        <f t="shared" ref="E30:AN30" si="4">E26+E29+E16+E17</f>
        <v>0</v>
      </c>
      <c r="F30" s="7">
        <f t="shared" si="4"/>
        <v>0</v>
      </c>
      <c r="G30" s="7">
        <f t="shared" si="4"/>
        <v>0</v>
      </c>
      <c r="H30" s="7">
        <f t="shared" si="4"/>
        <v>0</v>
      </c>
      <c r="I30" s="7">
        <f t="shared" si="4"/>
        <v>0</v>
      </c>
      <c r="J30" s="7">
        <f t="shared" si="4"/>
        <v>0</v>
      </c>
      <c r="K30" s="7">
        <f t="shared" si="4"/>
        <v>0</v>
      </c>
      <c r="L30" s="7">
        <f t="shared" si="4"/>
        <v>0</v>
      </c>
      <c r="M30" s="7">
        <f t="shared" si="4"/>
        <v>0</v>
      </c>
      <c r="N30" s="7">
        <f t="shared" si="4"/>
        <v>0</v>
      </c>
      <c r="O30" s="7">
        <f t="shared" si="4"/>
        <v>0</v>
      </c>
      <c r="P30" s="7">
        <f t="shared" si="4"/>
        <v>0</v>
      </c>
      <c r="Q30" s="7">
        <f t="shared" si="4"/>
        <v>0</v>
      </c>
      <c r="R30" s="7">
        <f t="shared" si="4"/>
        <v>0</v>
      </c>
      <c r="S30" s="7">
        <f t="shared" si="4"/>
        <v>0</v>
      </c>
      <c r="T30" s="7">
        <f t="shared" si="4"/>
        <v>0</v>
      </c>
      <c r="U30" s="7">
        <f t="shared" si="4"/>
        <v>0</v>
      </c>
      <c r="V30" s="7">
        <f t="shared" si="4"/>
        <v>0</v>
      </c>
      <c r="W30" s="7">
        <f t="shared" si="4"/>
        <v>0</v>
      </c>
      <c r="X30" s="7">
        <f t="shared" si="4"/>
        <v>0</v>
      </c>
      <c r="Y30" s="7">
        <f t="shared" si="4"/>
        <v>0</v>
      </c>
      <c r="Z30" s="7">
        <f t="shared" si="4"/>
        <v>0</v>
      </c>
      <c r="AA30" s="7">
        <f t="shared" si="4"/>
        <v>0</v>
      </c>
      <c r="AB30" s="7">
        <f t="shared" si="4"/>
        <v>0</v>
      </c>
      <c r="AC30" s="7">
        <f t="shared" si="4"/>
        <v>0</v>
      </c>
      <c r="AD30" s="7">
        <f t="shared" si="4"/>
        <v>0</v>
      </c>
      <c r="AE30" s="7">
        <f t="shared" si="4"/>
        <v>0</v>
      </c>
      <c r="AF30" s="7">
        <f t="shared" si="4"/>
        <v>0</v>
      </c>
      <c r="AG30" s="7">
        <f t="shared" si="4"/>
        <v>0</v>
      </c>
      <c r="AH30" s="7">
        <f t="shared" si="4"/>
        <v>0</v>
      </c>
      <c r="AI30" s="7">
        <f t="shared" si="4"/>
        <v>0</v>
      </c>
      <c r="AJ30" s="7">
        <f t="shared" si="4"/>
        <v>0</v>
      </c>
      <c r="AK30" s="7">
        <f t="shared" si="4"/>
        <v>0</v>
      </c>
      <c r="AL30" s="7">
        <f t="shared" si="4"/>
        <v>0</v>
      </c>
      <c r="AM30" s="7">
        <f t="shared" si="4"/>
        <v>0</v>
      </c>
      <c r="AN30" s="7">
        <f t="shared" si="4"/>
        <v>0</v>
      </c>
    </row>
    <row r="31" spans="1:40" x14ac:dyDescent="0.3">
      <c r="A31" s="1" t="s">
        <v>70</v>
      </c>
      <c r="B31" s="2" t="s">
        <v>32</v>
      </c>
      <c r="C31" s="1" t="s">
        <v>51</v>
      </c>
      <c r="D31" s="30" t="e">
        <f>D30/D7</f>
        <v>#DIV/0!</v>
      </c>
      <c r="E31" s="30" t="e">
        <f t="shared" ref="E31:AN31" si="5">E30/E7</f>
        <v>#DIV/0!</v>
      </c>
      <c r="F31" s="30" t="e">
        <f t="shared" si="5"/>
        <v>#DIV/0!</v>
      </c>
      <c r="G31" s="30" t="e">
        <f t="shared" si="5"/>
        <v>#DIV/0!</v>
      </c>
      <c r="H31" s="30" t="e">
        <f t="shared" si="5"/>
        <v>#DIV/0!</v>
      </c>
      <c r="I31" s="30" t="e">
        <f t="shared" si="5"/>
        <v>#DIV/0!</v>
      </c>
      <c r="J31" s="30" t="e">
        <f t="shared" si="5"/>
        <v>#DIV/0!</v>
      </c>
      <c r="K31" s="30" t="e">
        <f t="shared" si="5"/>
        <v>#DIV/0!</v>
      </c>
      <c r="L31" s="30" t="e">
        <f t="shared" si="5"/>
        <v>#DIV/0!</v>
      </c>
      <c r="M31" s="30" t="e">
        <f t="shared" si="5"/>
        <v>#DIV/0!</v>
      </c>
      <c r="N31" s="30" t="e">
        <f t="shared" si="5"/>
        <v>#DIV/0!</v>
      </c>
      <c r="O31" s="30" t="e">
        <f t="shared" si="5"/>
        <v>#DIV/0!</v>
      </c>
      <c r="P31" s="30" t="e">
        <f t="shared" si="5"/>
        <v>#DIV/0!</v>
      </c>
      <c r="Q31" s="30" t="e">
        <f t="shared" si="5"/>
        <v>#DIV/0!</v>
      </c>
      <c r="R31" s="30" t="e">
        <f t="shared" si="5"/>
        <v>#DIV/0!</v>
      </c>
      <c r="S31" s="30" t="e">
        <f t="shared" si="5"/>
        <v>#DIV/0!</v>
      </c>
      <c r="T31" s="30" t="e">
        <f t="shared" si="5"/>
        <v>#DIV/0!</v>
      </c>
      <c r="U31" s="30" t="e">
        <f t="shared" si="5"/>
        <v>#DIV/0!</v>
      </c>
      <c r="V31" s="30" t="e">
        <f t="shared" si="5"/>
        <v>#DIV/0!</v>
      </c>
      <c r="W31" s="30" t="e">
        <f t="shared" si="5"/>
        <v>#DIV/0!</v>
      </c>
      <c r="X31" s="30" t="e">
        <f t="shared" si="5"/>
        <v>#DIV/0!</v>
      </c>
      <c r="Y31" s="30" t="e">
        <f t="shared" si="5"/>
        <v>#DIV/0!</v>
      </c>
      <c r="Z31" s="30" t="e">
        <f t="shared" si="5"/>
        <v>#DIV/0!</v>
      </c>
      <c r="AA31" s="30" t="e">
        <f t="shared" si="5"/>
        <v>#DIV/0!</v>
      </c>
      <c r="AB31" s="30" t="e">
        <f t="shared" si="5"/>
        <v>#DIV/0!</v>
      </c>
      <c r="AC31" s="30" t="e">
        <f t="shared" si="5"/>
        <v>#DIV/0!</v>
      </c>
      <c r="AD31" s="30" t="e">
        <f t="shared" si="5"/>
        <v>#DIV/0!</v>
      </c>
      <c r="AE31" s="30" t="e">
        <f t="shared" si="5"/>
        <v>#DIV/0!</v>
      </c>
      <c r="AF31" s="30" t="e">
        <f t="shared" si="5"/>
        <v>#DIV/0!</v>
      </c>
      <c r="AG31" s="30" t="e">
        <f t="shared" si="5"/>
        <v>#DIV/0!</v>
      </c>
      <c r="AH31" s="30" t="e">
        <f t="shared" si="5"/>
        <v>#DIV/0!</v>
      </c>
      <c r="AI31" s="30" t="e">
        <f t="shared" si="5"/>
        <v>#DIV/0!</v>
      </c>
      <c r="AJ31" s="30" t="e">
        <f t="shared" si="5"/>
        <v>#DIV/0!</v>
      </c>
      <c r="AK31" s="30" t="e">
        <f t="shared" si="5"/>
        <v>#DIV/0!</v>
      </c>
      <c r="AL31" s="30" t="e">
        <f t="shared" si="5"/>
        <v>#DIV/0!</v>
      </c>
      <c r="AM31" s="30" t="e">
        <f t="shared" si="5"/>
        <v>#DIV/0!</v>
      </c>
      <c r="AN31" s="30" t="e">
        <f t="shared" si="5"/>
        <v>#DIV/0!</v>
      </c>
    </row>
    <row r="32" spans="1:40" x14ac:dyDescent="0.3">
      <c r="A32" s="18" t="s">
        <v>72</v>
      </c>
      <c r="B32" s="17" t="s">
        <v>33</v>
      </c>
      <c r="C32" s="6" t="s">
        <v>52</v>
      </c>
      <c r="D32" s="6" t="e">
        <f>D7/D6</f>
        <v>#DIV/0!</v>
      </c>
      <c r="E32" s="6" t="e">
        <f t="shared" ref="E32:AN32" si="6">E7/E6</f>
        <v>#DIV/0!</v>
      </c>
      <c r="F32" s="6" t="e">
        <f t="shared" si="6"/>
        <v>#DIV/0!</v>
      </c>
      <c r="G32" s="6" t="e">
        <f t="shared" si="6"/>
        <v>#DIV/0!</v>
      </c>
      <c r="H32" s="6" t="e">
        <f t="shared" si="6"/>
        <v>#DIV/0!</v>
      </c>
      <c r="I32" s="6" t="e">
        <f t="shared" si="6"/>
        <v>#DIV/0!</v>
      </c>
      <c r="J32" s="6" t="e">
        <f t="shared" si="6"/>
        <v>#DIV/0!</v>
      </c>
      <c r="K32" s="6" t="e">
        <f t="shared" si="6"/>
        <v>#DIV/0!</v>
      </c>
      <c r="L32" s="6" t="e">
        <f t="shared" si="6"/>
        <v>#DIV/0!</v>
      </c>
      <c r="M32" s="6" t="e">
        <f t="shared" si="6"/>
        <v>#DIV/0!</v>
      </c>
      <c r="N32" s="6" t="e">
        <f t="shared" si="6"/>
        <v>#DIV/0!</v>
      </c>
      <c r="O32" s="6" t="e">
        <f t="shared" si="6"/>
        <v>#DIV/0!</v>
      </c>
      <c r="P32" s="6" t="e">
        <f t="shared" si="6"/>
        <v>#DIV/0!</v>
      </c>
      <c r="Q32" s="6" t="e">
        <f t="shared" si="6"/>
        <v>#DIV/0!</v>
      </c>
      <c r="R32" s="6" t="e">
        <f t="shared" si="6"/>
        <v>#DIV/0!</v>
      </c>
      <c r="S32" s="6" t="e">
        <f t="shared" si="6"/>
        <v>#DIV/0!</v>
      </c>
      <c r="T32" s="6" t="e">
        <f t="shared" si="6"/>
        <v>#DIV/0!</v>
      </c>
      <c r="U32" s="6" t="e">
        <f t="shared" si="6"/>
        <v>#DIV/0!</v>
      </c>
      <c r="V32" s="6" t="e">
        <f t="shared" si="6"/>
        <v>#DIV/0!</v>
      </c>
      <c r="W32" s="6" t="e">
        <f t="shared" si="6"/>
        <v>#DIV/0!</v>
      </c>
      <c r="X32" s="6" t="e">
        <f t="shared" si="6"/>
        <v>#DIV/0!</v>
      </c>
      <c r="Y32" s="6" t="e">
        <f t="shared" si="6"/>
        <v>#DIV/0!</v>
      </c>
      <c r="Z32" s="6" t="e">
        <f t="shared" si="6"/>
        <v>#DIV/0!</v>
      </c>
      <c r="AA32" s="6" t="e">
        <f t="shared" si="6"/>
        <v>#DIV/0!</v>
      </c>
      <c r="AB32" s="6" t="e">
        <f t="shared" si="6"/>
        <v>#DIV/0!</v>
      </c>
      <c r="AC32" s="6" t="e">
        <f t="shared" si="6"/>
        <v>#DIV/0!</v>
      </c>
      <c r="AD32" s="6" t="e">
        <f t="shared" si="6"/>
        <v>#DIV/0!</v>
      </c>
      <c r="AE32" s="6" t="e">
        <f t="shared" si="6"/>
        <v>#DIV/0!</v>
      </c>
      <c r="AF32" s="6" t="e">
        <f t="shared" si="6"/>
        <v>#DIV/0!</v>
      </c>
      <c r="AG32" s="6" t="e">
        <f t="shared" si="6"/>
        <v>#DIV/0!</v>
      </c>
      <c r="AH32" s="6" t="e">
        <f t="shared" si="6"/>
        <v>#DIV/0!</v>
      </c>
      <c r="AI32" s="6" t="e">
        <f t="shared" si="6"/>
        <v>#DIV/0!</v>
      </c>
      <c r="AJ32" s="6" t="e">
        <f t="shared" si="6"/>
        <v>#DIV/0!</v>
      </c>
      <c r="AK32" s="6" t="e">
        <f t="shared" si="6"/>
        <v>#DIV/0!</v>
      </c>
      <c r="AL32" s="6" t="e">
        <f t="shared" si="6"/>
        <v>#DIV/0!</v>
      </c>
      <c r="AM32" s="6" t="e">
        <f t="shared" si="6"/>
        <v>#DIV/0!</v>
      </c>
      <c r="AN32" s="6" t="e">
        <f t="shared" si="6"/>
        <v>#DIV/0!</v>
      </c>
    </row>
    <row r="33" spans="1:40" x14ac:dyDescent="0.3">
      <c r="A33" s="16" t="s">
        <v>73</v>
      </c>
      <c r="B33" s="2" t="s">
        <v>34</v>
      </c>
      <c r="C33" s="1" t="s">
        <v>53</v>
      </c>
      <c r="D33" s="1" t="e">
        <f>D8/D6</f>
        <v>#DIV/0!</v>
      </c>
      <c r="E33" s="1" t="e">
        <f t="shared" ref="E33:AN33" si="7">E8/E6</f>
        <v>#DIV/0!</v>
      </c>
      <c r="F33" s="1" t="e">
        <f t="shared" si="7"/>
        <v>#DIV/0!</v>
      </c>
      <c r="G33" s="1" t="e">
        <f t="shared" si="7"/>
        <v>#DIV/0!</v>
      </c>
      <c r="H33" s="1" t="e">
        <f t="shared" si="7"/>
        <v>#DIV/0!</v>
      </c>
      <c r="I33" s="1" t="e">
        <f t="shared" si="7"/>
        <v>#DIV/0!</v>
      </c>
      <c r="J33" s="1" t="e">
        <f t="shared" si="7"/>
        <v>#DIV/0!</v>
      </c>
      <c r="K33" s="1" t="e">
        <f t="shared" si="7"/>
        <v>#DIV/0!</v>
      </c>
      <c r="L33" s="1" t="e">
        <f t="shared" si="7"/>
        <v>#DIV/0!</v>
      </c>
      <c r="M33" s="1" t="e">
        <f t="shared" si="7"/>
        <v>#DIV/0!</v>
      </c>
      <c r="N33" s="1" t="e">
        <f t="shared" si="7"/>
        <v>#DIV/0!</v>
      </c>
      <c r="O33" s="1" t="e">
        <f t="shared" si="7"/>
        <v>#DIV/0!</v>
      </c>
      <c r="P33" s="1" t="e">
        <f t="shared" si="7"/>
        <v>#DIV/0!</v>
      </c>
      <c r="Q33" s="1" t="e">
        <f t="shared" si="7"/>
        <v>#DIV/0!</v>
      </c>
      <c r="R33" s="1" t="e">
        <f t="shared" si="7"/>
        <v>#DIV/0!</v>
      </c>
      <c r="S33" s="1" t="e">
        <f t="shared" si="7"/>
        <v>#DIV/0!</v>
      </c>
      <c r="T33" s="1" t="e">
        <f t="shared" si="7"/>
        <v>#DIV/0!</v>
      </c>
      <c r="U33" s="1" t="e">
        <f t="shared" si="7"/>
        <v>#DIV/0!</v>
      </c>
      <c r="V33" s="1" t="e">
        <f t="shared" si="7"/>
        <v>#DIV/0!</v>
      </c>
      <c r="W33" s="1" t="e">
        <f t="shared" si="7"/>
        <v>#DIV/0!</v>
      </c>
      <c r="X33" s="1" t="e">
        <f t="shared" si="7"/>
        <v>#DIV/0!</v>
      </c>
      <c r="Y33" s="1" t="e">
        <f t="shared" si="7"/>
        <v>#DIV/0!</v>
      </c>
      <c r="Z33" s="1" t="e">
        <f t="shared" si="7"/>
        <v>#DIV/0!</v>
      </c>
      <c r="AA33" s="1" t="e">
        <f t="shared" si="7"/>
        <v>#DIV/0!</v>
      </c>
      <c r="AB33" s="1" t="e">
        <f t="shared" si="7"/>
        <v>#DIV/0!</v>
      </c>
      <c r="AC33" s="1" t="e">
        <f t="shared" si="7"/>
        <v>#DIV/0!</v>
      </c>
      <c r="AD33" s="1" t="e">
        <f t="shared" si="7"/>
        <v>#DIV/0!</v>
      </c>
      <c r="AE33" s="1" t="e">
        <f t="shared" si="7"/>
        <v>#DIV/0!</v>
      </c>
      <c r="AF33" s="1" t="e">
        <f t="shared" si="7"/>
        <v>#DIV/0!</v>
      </c>
      <c r="AG33" s="1" t="e">
        <f t="shared" si="7"/>
        <v>#DIV/0!</v>
      </c>
      <c r="AH33" s="1" t="e">
        <f t="shared" si="7"/>
        <v>#DIV/0!</v>
      </c>
      <c r="AI33" s="1" t="e">
        <f t="shared" si="7"/>
        <v>#DIV/0!</v>
      </c>
      <c r="AJ33" s="1" t="e">
        <f t="shared" si="7"/>
        <v>#DIV/0!</v>
      </c>
      <c r="AK33" s="1" t="e">
        <f t="shared" si="7"/>
        <v>#DIV/0!</v>
      </c>
      <c r="AL33" s="1" t="e">
        <f t="shared" si="7"/>
        <v>#DIV/0!</v>
      </c>
      <c r="AM33" s="1" t="e">
        <f t="shared" si="7"/>
        <v>#DIV/0!</v>
      </c>
      <c r="AN33" s="1" t="e">
        <f t="shared" si="7"/>
        <v>#DIV/0!</v>
      </c>
    </row>
    <row r="34" spans="1:40" x14ac:dyDescent="0.3">
      <c r="A34" s="18" t="s">
        <v>74</v>
      </c>
      <c r="B34" s="17" t="s">
        <v>35</v>
      </c>
      <c r="C34" s="6" t="s">
        <v>54</v>
      </c>
      <c r="D34" s="6" t="e">
        <f>D11/D10</f>
        <v>#DIV/0!</v>
      </c>
      <c r="E34" s="6" t="e">
        <f t="shared" ref="E34:AN34" si="8">E11/E10</f>
        <v>#DIV/0!</v>
      </c>
      <c r="F34" s="6" t="e">
        <f t="shared" si="8"/>
        <v>#DIV/0!</v>
      </c>
      <c r="G34" s="6" t="e">
        <f t="shared" si="8"/>
        <v>#DIV/0!</v>
      </c>
      <c r="H34" s="6" t="e">
        <f t="shared" si="8"/>
        <v>#DIV/0!</v>
      </c>
      <c r="I34" s="6" t="e">
        <f t="shared" si="8"/>
        <v>#DIV/0!</v>
      </c>
      <c r="J34" s="6" t="e">
        <f t="shared" si="8"/>
        <v>#DIV/0!</v>
      </c>
      <c r="K34" s="6" t="e">
        <f t="shared" si="8"/>
        <v>#DIV/0!</v>
      </c>
      <c r="L34" s="6" t="e">
        <f t="shared" si="8"/>
        <v>#DIV/0!</v>
      </c>
      <c r="M34" s="6" t="e">
        <f t="shared" si="8"/>
        <v>#DIV/0!</v>
      </c>
      <c r="N34" s="6" t="e">
        <f t="shared" si="8"/>
        <v>#DIV/0!</v>
      </c>
      <c r="O34" s="6" t="e">
        <f t="shared" si="8"/>
        <v>#DIV/0!</v>
      </c>
      <c r="P34" s="6" t="e">
        <f t="shared" si="8"/>
        <v>#DIV/0!</v>
      </c>
      <c r="Q34" s="6" t="e">
        <f t="shared" si="8"/>
        <v>#DIV/0!</v>
      </c>
      <c r="R34" s="6" t="e">
        <f t="shared" si="8"/>
        <v>#DIV/0!</v>
      </c>
      <c r="S34" s="6" t="e">
        <f t="shared" si="8"/>
        <v>#DIV/0!</v>
      </c>
      <c r="T34" s="6" t="e">
        <f t="shared" si="8"/>
        <v>#DIV/0!</v>
      </c>
      <c r="U34" s="6" t="e">
        <f t="shared" si="8"/>
        <v>#DIV/0!</v>
      </c>
      <c r="V34" s="6" t="e">
        <f t="shared" si="8"/>
        <v>#DIV/0!</v>
      </c>
      <c r="W34" s="6" t="e">
        <f t="shared" si="8"/>
        <v>#DIV/0!</v>
      </c>
      <c r="X34" s="6" t="e">
        <f t="shared" si="8"/>
        <v>#DIV/0!</v>
      </c>
      <c r="Y34" s="6" t="e">
        <f t="shared" si="8"/>
        <v>#DIV/0!</v>
      </c>
      <c r="Z34" s="6" t="e">
        <f t="shared" si="8"/>
        <v>#DIV/0!</v>
      </c>
      <c r="AA34" s="6" t="e">
        <f t="shared" si="8"/>
        <v>#DIV/0!</v>
      </c>
      <c r="AB34" s="6" t="e">
        <f t="shared" si="8"/>
        <v>#DIV/0!</v>
      </c>
      <c r="AC34" s="6" t="e">
        <f t="shared" si="8"/>
        <v>#DIV/0!</v>
      </c>
      <c r="AD34" s="6" t="e">
        <f t="shared" si="8"/>
        <v>#DIV/0!</v>
      </c>
      <c r="AE34" s="6" t="e">
        <f t="shared" si="8"/>
        <v>#DIV/0!</v>
      </c>
      <c r="AF34" s="6" t="e">
        <f t="shared" si="8"/>
        <v>#DIV/0!</v>
      </c>
      <c r="AG34" s="6" t="e">
        <f t="shared" si="8"/>
        <v>#DIV/0!</v>
      </c>
      <c r="AH34" s="6" t="e">
        <f t="shared" si="8"/>
        <v>#DIV/0!</v>
      </c>
      <c r="AI34" s="6" t="e">
        <f t="shared" si="8"/>
        <v>#DIV/0!</v>
      </c>
      <c r="AJ34" s="6" t="e">
        <f t="shared" si="8"/>
        <v>#DIV/0!</v>
      </c>
      <c r="AK34" s="6" t="e">
        <f t="shared" si="8"/>
        <v>#DIV/0!</v>
      </c>
      <c r="AL34" s="6" t="e">
        <f t="shared" si="8"/>
        <v>#DIV/0!</v>
      </c>
      <c r="AM34" s="6" t="e">
        <f t="shared" si="8"/>
        <v>#DIV/0!</v>
      </c>
      <c r="AN34" s="6" t="e">
        <f t="shared" si="8"/>
        <v>#DIV/0!</v>
      </c>
    </row>
    <row r="35" spans="1:40" x14ac:dyDescent="0.3">
      <c r="A35" s="16" t="s">
        <v>75</v>
      </c>
      <c r="B35" s="2" t="s">
        <v>36</v>
      </c>
      <c r="C35" s="1" t="s">
        <v>55</v>
      </c>
      <c r="D35" s="1" t="e">
        <f>D12/D6</f>
        <v>#DIV/0!</v>
      </c>
      <c r="E35" s="1" t="e">
        <f t="shared" ref="E35:AN35" si="9">E12/E6</f>
        <v>#DIV/0!</v>
      </c>
      <c r="F35" s="1" t="e">
        <f t="shared" si="9"/>
        <v>#DIV/0!</v>
      </c>
      <c r="G35" s="1" t="e">
        <f t="shared" si="9"/>
        <v>#DIV/0!</v>
      </c>
      <c r="H35" s="1" t="e">
        <f t="shared" si="9"/>
        <v>#DIV/0!</v>
      </c>
      <c r="I35" s="1" t="e">
        <f t="shared" si="9"/>
        <v>#DIV/0!</v>
      </c>
      <c r="J35" s="1" t="e">
        <f t="shared" si="9"/>
        <v>#DIV/0!</v>
      </c>
      <c r="K35" s="1" t="e">
        <f t="shared" si="9"/>
        <v>#DIV/0!</v>
      </c>
      <c r="L35" s="1" t="e">
        <f t="shared" si="9"/>
        <v>#DIV/0!</v>
      </c>
      <c r="M35" s="1" t="e">
        <f t="shared" si="9"/>
        <v>#DIV/0!</v>
      </c>
      <c r="N35" s="1" t="e">
        <f t="shared" si="9"/>
        <v>#DIV/0!</v>
      </c>
      <c r="O35" s="1" t="e">
        <f t="shared" si="9"/>
        <v>#DIV/0!</v>
      </c>
      <c r="P35" s="1" t="e">
        <f t="shared" si="9"/>
        <v>#DIV/0!</v>
      </c>
      <c r="Q35" s="1" t="e">
        <f t="shared" si="9"/>
        <v>#DIV/0!</v>
      </c>
      <c r="R35" s="1" t="e">
        <f t="shared" si="9"/>
        <v>#DIV/0!</v>
      </c>
      <c r="S35" s="1" t="e">
        <f t="shared" si="9"/>
        <v>#DIV/0!</v>
      </c>
      <c r="T35" s="1" t="e">
        <f t="shared" si="9"/>
        <v>#DIV/0!</v>
      </c>
      <c r="U35" s="1" t="e">
        <f t="shared" si="9"/>
        <v>#DIV/0!</v>
      </c>
      <c r="V35" s="1" t="e">
        <f t="shared" si="9"/>
        <v>#DIV/0!</v>
      </c>
      <c r="W35" s="1" t="e">
        <f t="shared" si="9"/>
        <v>#DIV/0!</v>
      </c>
      <c r="X35" s="1" t="e">
        <f t="shared" si="9"/>
        <v>#DIV/0!</v>
      </c>
      <c r="Y35" s="1" t="e">
        <f t="shared" si="9"/>
        <v>#DIV/0!</v>
      </c>
      <c r="Z35" s="1" t="e">
        <f t="shared" si="9"/>
        <v>#DIV/0!</v>
      </c>
      <c r="AA35" s="1" t="e">
        <f t="shared" si="9"/>
        <v>#DIV/0!</v>
      </c>
      <c r="AB35" s="1" t="e">
        <f t="shared" si="9"/>
        <v>#DIV/0!</v>
      </c>
      <c r="AC35" s="1" t="e">
        <f t="shared" si="9"/>
        <v>#DIV/0!</v>
      </c>
      <c r="AD35" s="1" t="e">
        <f t="shared" si="9"/>
        <v>#DIV/0!</v>
      </c>
      <c r="AE35" s="1" t="e">
        <f t="shared" si="9"/>
        <v>#DIV/0!</v>
      </c>
      <c r="AF35" s="1" t="e">
        <f t="shared" si="9"/>
        <v>#DIV/0!</v>
      </c>
      <c r="AG35" s="1" t="e">
        <f t="shared" si="9"/>
        <v>#DIV/0!</v>
      </c>
      <c r="AH35" s="1" t="e">
        <f t="shared" si="9"/>
        <v>#DIV/0!</v>
      </c>
      <c r="AI35" s="1" t="e">
        <f t="shared" si="9"/>
        <v>#DIV/0!</v>
      </c>
      <c r="AJ35" s="1" t="e">
        <f t="shared" si="9"/>
        <v>#DIV/0!</v>
      </c>
      <c r="AK35" s="1" t="e">
        <f t="shared" si="9"/>
        <v>#DIV/0!</v>
      </c>
      <c r="AL35" s="1" t="e">
        <f t="shared" si="9"/>
        <v>#DIV/0!</v>
      </c>
      <c r="AM35" s="1" t="e">
        <f t="shared" si="9"/>
        <v>#DIV/0!</v>
      </c>
      <c r="AN35" s="1" t="e">
        <f t="shared" si="9"/>
        <v>#DIV/0!</v>
      </c>
    </row>
    <row r="36" spans="1:40" x14ac:dyDescent="0.3">
      <c r="A36" s="18" t="s">
        <v>76</v>
      </c>
      <c r="B36" s="17" t="s">
        <v>37</v>
      </c>
      <c r="C36" s="6" t="s">
        <v>56</v>
      </c>
      <c r="D36" s="29" t="e">
        <f>D26/D12</f>
        <v>#DIV/0!</v>
      </c>
      <c r="E36" s="29" t="e">
        <f t="shared" ref="E36:AN36" si="10">E26/E12</f>
        <v>#DIV/0!</v>
      </c>
      <c r="F36" s="29" t="e">
        <f t="shared" si="10"/>
        <v>#DIV/0!</v>
      </c>
      <c r="G36" s="29" t="e">
        <f t="shared" si="10"/>
        <v>#DIV/0!</v>
      </c>
      <c r="H36" s="29" t="e">
        <f t="shared" si="10"/>
        <v>#DIV/0!</v>
      </c>
      <c r="I36" s="29" t="e">
        <f t="shared" si="10"/>
        <v>#DIV/0!</v>
      </c>
      <c r="J36" s="29" t="e">
        <f t="shared" si="10"/>
        <v>#DIV/0!</v>
      </c>
      <c r="K36" s="29" t="e">
        <f t="shared" si="10"/>
        <v>#DIV/0!</v>
      </c>
      <c r="L36" s="29" t="e">
        <f t="shared" si="10"/>
        <v>#DIV/0!</v>
      </c>
      <c r="M36" s="29" t="e">
        <f t="shared" si="10"/>
        <v>#DIV/0!</v>
      </c>
      <c r="N36" s="29" t="e">
        <f t="shared" si="10"/>
        <v>#DIV/0!</v>
      </c>
      <c r="O36" s="29" t="e">
        <f t="shared" si="10"/>
        <v>#DIV/0!</v>
      </c>
      <c r="P36" s="29" t="e">
        <f t="shared" si="10"/>
        <v>#DIV/0!</v>
      </c>
      <c r="Q36" s="29" t="e">
        <f t="shared" si="10"/>
        <v>#DIV/0!</v>
      </c>
      <c r="R36" s="29" t="e">
        <f t="shared" si="10"/>
        <v>#DIV/0!</v>
      </c>
      <c r="S36" s="29" t="e">
        <f t="shared" si="10"/>
        <v>#DIV/0!</v>
      </c>
      <c r="T36" s="29" t="e">
        <f t="shared" si="10"/>
        <v>#DIV/0!</v>
      </c>
      <c r="U36" s="29" t="e">
        <f t="shared" si="10"/>
        <v>#DIV/0!</v>
      </c>
      <c r="V36" s="29" t="e">
        <f t="shared" si="10"/>
        <v>#DIV/0!</v>
      </c>
      <c r="W36" s="29" t="e">
        <f t="shared" si="10"/>
        <v>#DIV/0!</v>
      </c>
      <c r="X36" s="29" t="e">
        <f t="shared" si="10"/>
        <v>#DIV/0!</v>
      </c>
      <c r="Y36" s="29" t="e">
        <f t="shared" si="10"/>
        <v>#DIV/0!</v>
      </c>
      <c r="Z36" s="29" t="e">
        <f t="shared" si="10"/>
        <v>#DIV/0!</v>
      </c>
      <c r="AA36" s="29" t="e">
        <f t="shared" si="10"/>
        <v>#DIV/0!</v>
      </c>
      <c r="AB36" s="29" t="e">
        <f t="shared" si="10"/>
        <v>#DIV/0!</v>
      </c>
      <c r="AC36" s="29" t="e">
        <f t="shared" si="10"/>
        <v>#DIV/0!</v>
      </c>
      <c r="AD36" s="29" t="e">
        <f t="shared" si="10"/>
        <v>#DIV/0!</v>
      </c>
      <c r="AE36" s="29" t="e">
        <f t="shared" si="10"/>
        <v>#DIV/0!</v>
      </c>
      <c r="AF36" s="29" t="e">
        <f t="shared" si="10"/>
        <v>#DIV/0!</v>
      </c>
      <c r="AG36" s="29" t="e">
        <f t="shared" si="10"/>
        <v>#DIV/0!</v>
      </c>
      <c r="AH36" s="29" t="e">
        <f t="shared" si="10"/>
        <v>#DIV/0!</v>
      </c>
      <c r="AI36" s="29" t="e">
        <f t="shared" si="10"/>
        <v>#DIV/0!</v>
      </c>
      <c r="AJ36" s="29" t="e">
        <f t="shared" si="10"/>
        <v>#DIV/0!</v>
      </c>
      <c r="AK36" s="29" t="e">
        <f t="shared" si="10"/>
        <v>#DIV/0!</v>
      </c>
      <c r="AL36" s="29" t="e">
        <f t="shared" si="10"/>
        <v>#DIV/0!</v>
      </c>
      <c r="AM36" s="29" t="e">
        <f t="shared" si="10"/>
        <v>#DIV/0!</v>
      </c>
      <c r="AN36" s="29" t="e">
        <f t="shared" si="10"/>
        <v>#DIV/0!</v>
      </c>
    </row>
    <row r="37" spans="1:40" x14ac:dyDescent="0.3">
      <c r="A37" s="16" t="s">
        <v>77</v>
      </c>
      <c r="B37" s="2" t="s">
        <v>38</v>
      </c>
      <c r="C37" s="1" t="s">
        <v>57</v>
      </c>
      <c r="D37" s="30" t="e">
        <f>D26/D23</f>
        <v>#DIV/0!</v>
      </c>
      <c r="E37" s="30" t="e">
        <f t="shared" ref="E37:AN37" si="11">E26/E23</f>
        <v>#DIV/0!</v>
      </c>
      <c r="F37" s="30" t="e">
        <f t="shared" si="11"/>
        <v>#DIV/0!</v>
      </c>
      <c r="G37" s="30" t="e">
        <f t="shared" si="11"/>
        <v>#DIV/0!</v>
      </c>
      <c r="H37" s="30" t="e">
        <f t="shared" si="11"/>
        <v>#DIV/0!</v>
      </c>
      <c r="I37" s="30" t="e">
        <f t="shared" si="11"/>
        <v>#DIV/0!</v>
      </c>
      <c r="J37" s="30" t="e">
        <f t="shared" si="11"/>
        <v>#DIV/0!</v>
      </c>
      <c r="K37" s="30" t="e">
        <f t="shared" si="11"/>
        <v>#DIV/0!</v>
      </c>
      <c r="L37" s="30" t="e">
        <f t="shared" si="11"/>
        <v>#DIV/0!</v>
      </c>
      <c r="M37" s="30" t="e">
        <f t="shared" si="11"/>
        <v>#DIV/0!</v>
      </c>
      <c r="N37" s="30" t="e">
        <f t="shared" si="11"/>
        <v>#DIV/0!</v>
      </c>
      <c r="O37" s="30" t="e">
        <f t="shared" si="11"/>
        <v>#DIV/0!</v>
      </c>
      <c r="P37" s="30" t="e">
        <f t="shared" si="11"/>
        <v>#DIV/0!</v>
      </c>
      <c r="Q37" s="30" t="e">
        <f t="shared" si="11"/>
        <v>#DIV/0!</v>
      </c>
      <c r="R37" s="30" t="e">
        <f t="shared" si="11"/>
        <v>#DIV/0!</v>
      </c>
      <c r="S37" s="30" t="e">
        <f t="shared" si="11"/>
        <v>#DIV/0!</v>
      </c>
      <c r="T37" s="30" t="e">
        <f t="shared" si="11"/>
        <v>#DIV/0!</v>
      </c>
      <c r="U37" s="30" t="e">
        <f t="shared" si="11"/>
        <v>#DIV/0!</v>
      </c>
      <c r="V37" s="30" t="e">
        <f t="shared" si="11"/>
        <v>#DIV/0!</v>
      </c>
      <c r="W37" s="30" t="e">
        <f t="shared" si="11"/>
        <v>#DIV/0!</v>
      </c>
      <c r="X37" s="30" t="e">
        <f t="shared" si="11"/>
        <v>#DIV/0!</v>
      </c>
      <c r="Y37" s="30" t="e">
        <f t="shared" si="11"/>
        <v>#DIV/0!</v>
      </c>
      <c r="Z37" s="30" t="e">
        <f t="shared" si="11"/>
        <v>#DIV/0!</v>
      </c>
      <c r="AA37" s="30" t="e">
        <f t="shared" si="11"/>
        <v>#DIV/0!</v>
      </c>
      <c r="AB37" s="30" t="e">
        <f t="shared" si="11"/>
        <v>#DIV/0!</v>
      </c>
      <c r="AC37" s="30" t="e">
        <f t="shared" si="11"/>
        <v>#DIV/0!</v>
      </c>
      <c r="AD37" s="30" t="e">
        <f t="shared" si="11"/>
        <v>#DIV/0!</v>
      </c>
      <c r="AE37" s="30" t="e">
        <f t="shared" si="11"/>
        <v>#DIV/0!</v>
      </c>
      <c r="AF37" s="30" t="e">
        <f t="shared" si="11"/>
        <v>#DIV/0!</v>
      </c>
      <c r="AG37" s="30" t="e">
        <f t="shared" si="11"/>
        <v>#DIV/0!</v>
      </c>
      <c r="AH37" s="30" t="e">
        <f t="shared" si="11"/>
        <v>#DIV/0!</v>
      </c>
      <c r="AI37" s="30" t="e">
        <f t="shared" si="11"/>
        <v>#DIV/0!</v>
      </c>
      <c r="AJ37" s="30" t="e">
        <f t="shared" si="11"/>
        <v>#DIV/0!</v>
      </c>
      <c r="AK37" s="30" t="e">
        <f t="shared" si="11"/>
        <v>#DIV/0!</v>
      </c>
      <c r="AL37" s="30" t="e">
        <f t="shared" si="11"/>
        <v>#DIV/0!</v>
      </c>
      <c r="AM37" s="30" t="e">
        <f t="shared" si="11"/>
        <v>#DIV/0!</v>
      </c>
      <c r="AN37" s="30" t="e">
        <f t="shared" si="11"/>
        <v>#DIV/0!</v>
      </c>
    </row>
    <row r="38" spans="1:40" x14ac:dyDescent="0.3">
      <c r="A38" s="18" t="s">
        <v>78</v>
      </c>
      <c r="B38" s="17" t="s">
        <v>39</v>
      </c>
      <c r="C38" s="6" t="s">
        <v>58</v>
      </c>
      <c r="D38" s="55" t="e">
        <f>D8/D23</f>
        <v>#DIV/0!</v>
      </c>
      <c r="E38" s="55" t="e">
        <f t="shared" ref="E38:AN38" si="12">E8/E23</f>
        <v>#DIV/0!</v>
      </c>
      <c r="F38" s="55" t="e">
        <f t="shared" si="12"/>
        <v>#DIV/0!</v>
      </c>
      <c r="G38" s="55" t="e">
        <f t="shared" si="12"/>
        <v>#DIV/0!</v>
      </c>
      <c r="H38" s="55" t="e">
        <f t="shared" si="12"/>
        <v>#DIV/0!</v>
      </c>
      <c r="I38" s="55" t="e">
        <f t="shared" si="12"/>
        <v>#DIV/0!</v>
      </c>
      <c r="J38" s="55" t="e">
        <f t="shared" si="12"/>
        <v>#DIV/0!</v>
      </c>
      <c r="K38" s="55" t="e">
        <f t="shared" si="12"/>
        <v>#DIV/0!</v>
      </c>
      <c r="L38" s="55" t="e">
        <f t="shared" si="12"/>
        <v>#DIV/0!</v>
      </c>
      <c r="M38" s="55" t="e">
        <f t="shared" si="12"/>
        <v>#DIV/0!</v>
      </c>
      <c r="N38" s="55" t="e">
        <f t="shared" si="12"/>
        <v>#DIV/0!</v>
      </c>
      <c r="O38" s="55" t="e">
        <f t="shared" si="12"/>
        <v>#DIV/0!</v>
      </c>
      <c r="P38" s="55" t="e">
        <f t="shared" si="12"/>
        <v>#DIV/0!</v>
      </c>
      <c r="Q38" s="55" t="e">
        <f t="shared" si="12"/>
        <v>#DIV/0!</v>
      </c>
      <c r="R38" s="55" t="e">
        <f t="shared" si="12"/>
        <v>#DIV/0!</v>
      </c>
      <c r="S38" s="55" t="e">
        <f t="shared" si="12"/>
        <v>#DIV/0!</v>
      </c>
      <c r="T38" s="55" t="e">
        <f t="shared" si="12"/>
        <v>#DIV/0!</v>
      </c>
      <c r="U38" s="55" t="e">
        <f t="shared" si="12"/>
        <v>#DIV/0!</v>
      </c>
      <c r="V38" s="55" t="e">
        <f t="shared" si="12"/>
        <v>#DIV/0!</v>
      </c>
      <c r="W38" s="55" t="e">
        <f t="shared" si="12"/>
        <v>#DIV/0!</v>
      </c>
      <c r="X38" s="55" t="e">
        <f t="shared" si="12"/>
        <v>#DIV/0!</v>
      </c>
      <c r="Y38" s="55" t="e">
        <f t="shared" si="12"/>
        <v>#DIV/0!</v>
      </c>
      <c r="Z38" s="55" t="e">
        <f t="shared" si="12"/>
        <v>#DIV/0!</v>
      </c>
      <c r="AA38" s="55" t="e">
        <f t="shared" si="12"/>
        <v>#DIV/0!</v>
      </c>
      <c r="AB38" s="55" t="e">
        <f t="shared" si="12"/>
        <v>#DIV/0!</v>
      </c>
      <c r="AC38" s="55" t="e">
        <f t="shared" si="12"/>
        <v>#DIV/0!</v>
      </c>
      <c r="AD38" s="55" t="e">
        <f t="shared" si="12"/>
        <v>#DIV/0!</v>
      </c>
      <c r="AE38" s="55" t="e">
        <f t="shared" si="12"/>
        <v>#DIV/0!</v>
      </c>
      <c r="AF38" s="55" t="e">
        <f t="shared" si="12"/>
        <v>#DIV/0!</v>
      </c>
      <c r="AG38" s="55" t="e">
        <f t="shared" si="12"/>
        <v>#DIV/0!</v>
      </c>
      <c r="AH38" s="55" t="e">
        <f t="shared" si="12"/>
        <v>#DIV/0!</v>
      </c>
      <c r="AI38" s="55" t="e">
        <f t="shared" si="12"/>
        <v>#DIV/0!</v>
      </c>
      <c r="AJ38" s="55" t="e">
        <f t="shared" si="12"/>
        <v>#DIV/0!</v>
      </c>
      <c r="AK38" s="55" t="e">
        <f t="shared" si="12"/>
        <v>#DIV/0!</v>
      </c>
      <c r="AL38" s="55" t="e">
        <f t="shared" si="12"/>
        <v>#DIV/0!</v>
      </c>
      <c r="AM38" s="55" t="e">
        <f t="shared" si="12"/>
        <v>#DIV/0!</v>
      </c>
      <c r="AN38" s="55" t="e">
        <f t="shared" si="12"/>
        <v>#DIV/0!</v>
      </c>
    </row>
    <row r="39" spans="1:40" x14ac:dyDescent="0.3">
      <c r="A39" s="16" t="s">
        <v>79</v>
      </c>
      <c r="B39" s="2" t="s">
        <v>40</v>
      </c>
      <c r="C39" s="1" t="s">
        <v>59</v>
      </c>
      <c r="D39" s="56" t="e">
        <f>D12/D23</f>
        <v>#DIV/0!</v>
      </c>
      <c r="E39" s="56" t="e">
        <f t="shared" ref="E39:AN39" si="13">E12/E23</f>
        <v>#DIV/0!</v>
      </c>
      <c r="F39" s="56" t="e">
        <f t="shared" si="13"/>
        <v>#DIV/0!</v>
      </c>
      <c r="G39" s="56" t="e">
        <f t="shared" si="13"/>
        <v>#DIV/0!</v>
      </c>
      <c r="H39" s="56" t="e">
        <f t="shared" si="13"/>
        <v>#DIV/0!</v>
      </c>
      <c r="I39" s="56" t="e">
        <f t="shared" si="13"/>
        <v>#DIV/0!</v>
      </c>
      <c r="J39" s="56" t="e">
        <f t="shared" si="13"/>
        <v>#DIV/0!</v>
      </c>
      <c r="K39" s="56" t="e">
        <f t="shared" si="13"/>
        <v>#DIV/0!</v>
      </c>
      <c r="L39" s="56" t="e">
        <f t="shared" si="13"/>
        <v>#DIV/0!</v>
      </c>
      <c r="M39" s="56" t="e">
        <f t="shared" si="13"/>
        <v>#DIV/0!</v>
      </c>
      <c r="N39" s="56" t="e">
        <f t="shared" si="13"/>
        <v>#DIV/0!</v>
      </c>
      <c r="O39" s="56" t="e">
        <f t="shared" si="13"/>
        <v>#DIV/0!</v>
      </c>
      <c r="P39" s="56" t="e">
        <f t="shared" si="13"/>
        <v>#DIV/0!</v>
      </c>
      <c r="Q39" s="56" t="e">
        <f t="shared" si="13"/>
        <v>#DIV/0!</v>
      </c>
      <c r="R39" s="56" t="e">
        <f t="shared" si="13"/>
        <v>#DIV/0!</v>
      </c>
      <c r="S39" s="56" t="e">
        <f t="shared" si="13"/>
        <v>#DIV/0!</v>
      </c>
      <c r="T39" s="56" t="e">
        <f t="shared" si="13"/>
        <v>#DIV/0!</v>
      </c>
      <c r="U39" s="56" t="e">
        <f t="shared" si="13"/>
        <v>#DIV/0!</v>
      </c>
      <c r="V39" s="56" t="e">
        <f t="shared" si="13"/>
        <v>#DIV/0!</v>
      </c>
      <c r="W39" s="56" t="e">
        <f t="shared" si="13"/>
        <v>#DIV/0!</v>
      </c>
      <c r="X39" s="56" t="e">
        <f t="shared" si="13"/>
        <v>#DIV/0!</v>
      </c>
      <c r="Y39" s="56" t="e">
        <f t="shared" si="13"/>
        <v>#DIV/0!</v>
      </c>
      <c r="Z39" s="56" t="e">
        <f t="shared" si="13"/>
        <v>#DIV/0!</v>
      </c>
      <c r="AA39" s="56" t="e">
        <f t="shared" si="13"/>
        <v>#DIV/0!</v>
      </c>
      <c r="AB39" s="56" t="e">
        <f t="shared" si="13"/>
        <v>#DIV/0!</v>
      </c>
      <c r="AC39" s="56" t="e">
        <f t="shared" si="13"/>
        <v>#DIV/0!</v>
      </c>
      <c r="AD39" s="56" t="e">
        <f t="shared" si="13"/>
        <v>#DIV/0!</v>
      </c>
      <c r="AE39" s="56" t="e">
        <f t="shared" si="13"/>
        <v>#DIV/0!</v>
      </c>
      <c r="AF39" s="56" t="e">
        <f t="shared" si="13"/>
        <v>#DIV/0!</v>
      </c>
      <c r="AG39" s="56" t="e">
        <f t="shared" si="13"/>
        <v>#DIV/0!</v>
      </c>
      <c r="AH39" s="56" t="e">
        <f t="shared" si="13"/>
        <v>#DIV/0!</v>
      </c>
      <c r="AI39" s="56" t="e">
        <f t="shared" si="13"/>
        <v>#DIV/0!</v>
      </c>
      <c r="AJ39" s="56" t="e">
        <f t="shared" si="13"/>
        <v>#DIV/0!</v>
      </c>
      <c r="AK39" s="56" t="e">
        <f t="shared" si="13"/>
        <v>#DIV/0!</v>
      </c>
      <c r="AL39" s="56" t="e">
        <f t="shared" si="13"/>
        <v>#DIV/0!</v>
      </c>
      <c r="AM39" s="56" t="e">
        <f t="shared" si="13"/>
        <v>#DIV/0!</v>
      </c>
      <c r="AN39" s="56" t="e">
        <f t="shared" si="13"/>
        <v>#DIV/0!</v>
      </c>
    </row>
    <row r="40" spans="1:40" x14ac:dyDescent="0.3">
      <c r="A40" s="18" t="s">
        <v>80</v>
      </c>
      <c r="B40" s="17" t="s">
        <v>41</v>
      </c>
      <c r="C40" s="6" t="s">
        <v>61</v>
      </c>
      <c r="D40" s="7">
        <f>D20-D19</f>
        <v>0</v>
      </c>
      <c r="E40" s="7">
        <f t="shared" ref="E40:AN40" si="14">E20-E19</f>
        <v>0</v>
      </c>
      <c r="F40" s="7">
        <f t="shared" si="14"/>
        <v>0</v>
      </c>
      <c r="G40" s="7">
        <f t="shared" si="14"/>
        <v>0</v>
      </c>
      <c r="H40" s="7">
        <f t="shared" si="14"/>
        <v>0</v>
      </c>
      <c r="I40" s="7">
        <f t="shared" si="14"/>
        <v>0</v>
      </c>
      <c r="J40" s="7">
        <f t="shared" si="14"/>
        <v>0</v>
      </c>
      <c r="K40" s="7">
        <f t="shared" si="14"/>
        <v>0</v>
      </c>
      <c r="L40" s="7">
        <f t="shared" si="14"/>
        <v>0</v>
      </c>
      <c r="M40" s="7">
        <f t="shared" si="14"/>
        <v>0</v>
      </c>
      <c r="N40" s="7">
        <f t="shared" si="14"/>
        <v>0</v>
      </c>
      <c r="O40" s="7">
        <f t="shared" si="14"/>
        <v>0</v>
      </c>
      <c r="P40" s="7">
        <f t="shared" si="14"/>
        <v>0</v>
      </c>
      <c r="Q40" s="7">
        <f t="shared" si="14"/>
        <v>0</v>
      </c>
      <c r="R40" s="7">
        <f t="shared" si="14"/>
        <v>0</v>
      </c>
      <c r="S40" s="7">
        <f t="shared" si="14"/>
        <v>0</v>
      </c>
      <c r="T40" s="7">
        <f t="shared" si="14"/>
        <v>0</v>
      </c>
      <c r="U40" s="7">
        <f t="shared" si="14"/>
        <v>0</v>
      </c>
      <c r="V40" s="7">
        <f t="shared" si="14"/>
        <v>0</v>
      </c>
      <c r="W40" s="7">
        <f t="shared" si="14"/>
        <v>0</v>
      </c>
      <c r="X40" s="7">
        <f t="shared" si="14"/>
        <v>0</v>
      </c>
      <c r="Y40" s="7">
        <f t="shared" si="14"/>
        <v>0</v>
      </c>
      <c r="Z40" s="7">
        <f t="shared" si="14"/>
        <v>0</v>
      </c>
      <c r="AA40" s="7">
        <f t="shared" si="14"/>
        <v>0</v>
      </c>
      <c r="AB40" s="7">
        <f t="shared" si="14"/>
        <v>0</v>
      </c>
      <c r="AC40" s="7">
        <f t="shared" si="14"/>
        <v>0</v>
      </c>
      <c r="AD40" s="7">
        <f t="shared" si="14"/>
        <v>0</v>
      </c>
      <c r="AE40" s="7">
        <f t="shared" si="14"/>
        <v>0</v>
      </c>
      <c r="AF40" s="7">
        <f t="shared" si="14"/>
        <v>0</v>
      </c>
      <c r="AG40" s="7">
        <f t="shared" si="14"/>
        <v>0</v>
      </c>
      <c r="AH40" s="7">
        <f t="shared" si="14"/>
        <v>0</v>
      </c>
      <c r="AI40" s="7">
        <f t="shared" si="14"/>
        <v>0</v>
      </c>
      <c r="AJ40" s="7">
        <f t="shared" si="14"/>
        <v>0</v>
      </c>
      <c r="AK40" s="7">
        <f t="shared" si="14"/>
        <v>0</v>
      </c>
      <c r="AL40" s="7">
        <f t="shared" si="14"/>
        <v>0</v>
      </c>
      <c r="AM40" s="7">
        <f t="shared" si="14"/>
        <v>0</v>
      </c>
      <c r="AN40" s="7">
        <f t="shared" si="14"/>
        <v>0</v>
      </c>
    </row>
    <row r="41" spans="1:40" x14ac:dyDescent="0.3">
      <c r="A41" s="53" t="s">
        <v>96</v>
      </c>
      <c r="B41" s="2" t="s">
        <v>42</v>
      </c>
      <c r="C41" s="52" t="s">
        <v>98</v>
      </c>
      <c r="D41" s="29" t="e">
        <f>D20/D19</f>
        <v>#DIV/0!</v>
      </c>
      <c r="E41" s="29" t="e">
        <f t="shared" ref="E41:AN41" si="15">E20/E19</f>
        <v>#DIV/0!</v>
      </c>
      <c r="F41" s="29" t="e">
        <f t="shared" si="15"/>
        <v>#DIV/0!</v>
      </c>
      <c r="G41" s="29" t="e">
        <f t="shared" si="15"/>
        <v>#DIV/0!</v>
      </c>
      <c r="H41" s="29" t="e">
        <f t="shared" si="15"/>
        <v>#DIV/0!</v>
      </c>
      <c r="I41" s="29" t="e">
        <f t="shared" si="15"/>
        <v>#DIV/0!</v>
      </c>
      <c r="J41" s="29" t="e">
        <f t="shared" si="15"/>
        <v>#DIV/0!</v>
      </c>
      <c r="K41" s="29" t="e">
        <f t="shared" si="15"/>
        <v>#DIV/0!</v>
      </c>
      <c r="L41" s="29" t="e">
        <f t="shared" si="15"/>
        <v>#DIV/0!</v>
      </c>
      <c r="M41" s="29" t="e">
        <f t="shared" si="15"/>
        <v>#DIV/0!</v>
      </c>
      <c r="N41" s="29" t="e">
        <f t="shared" si="15"/>
        <v>#DIV/0!</v>
      </c>
      <c r="O41" s="29" t="e">
        <f t="shared" si="15"/>
        <v>#DIV/0!</v>
      </c>
      <c r="P41" s="29" t="e">
        <f t="shared" si="15"/>
        <v>#DIV/0!</v>
      </c>
      <c r="Q41" s="29" t="e">
        <f t="shared" si="15"/>
        <v>#DIV/0!</v>
      </c>
      <c r="R41" s="29" t="e">
        <f t="shared" si="15"/>
        <v>#DIV/0!</v>
      </c>
      <c r="S41" s="29" t="e">
        <f t="shared" si="15"/>
        <v>#DIV/0!</v>
      </c>
      <c r="T41" s="29" t="e">
        <f t="shared" si="15"/>
        <v>#DIV/0!</v>
      </c>
      <c r="U41" s="29" t="e">
        <f t="shared" si="15"/>
        <v>#DIV/0!</v>
      </c>
      <c r="V41" s="29" t="e">
        <f t="shared" si="15"/>
        <v>#DIV/0!</v>
      </c>
      <c r="W41" s="29" t="e">
        <f t="shared" si="15"/>
        <v>#DIV/0!</v>
      </c>
      <c r="X41" s="29" t="e">
        <f t="shared" si="15"/>
        <v>#DIV/0!</v>
      </c>
      <c r="Y41" s="29" t="e">
        <f t="shared" si="15"/>
        <v>#DIV/0!</v>
      </c>
      <c r="Z41" s="29" t="e">
        <f t="shared" si="15"/>
        <v>#DIV/0!</v>
      </c>
      <c r="AA41" s="29" t="e">
        <f t="shared" si="15"/>
        <v>#DIV/0!</v>
      </c>
      <c r="AB41" s="29" t="e">
        <f t="shared" si="15"/>
        <v>#DIV/0!</v>
      </c>
      <c r="AC41" s="29" t="e">
        <f t="shared" si="15"/>
        <v>#DIV/0!</v>
      </c>
      <c r="AD41" s="29" t="e">
        <f t="shared" si="15"/>
        <v>#DIV/0!</v>
      </c>
      <c r="AE41" s="29" t="e">
        <f t="shared" si="15"/>
        <v>#DIV/0!</v>
      </c>
      <c r="AF41" s="29" t="e">
        <f t="shared" si="15"/>
        <v>#DIV/0!</v>
      </c>
      <c r="AG41" s="29" t="e">
        <f t="shared" si="15"/>
        <v>#DIV/0!</v>
      </c>
      <c r="AH41" s="29" t="e">
        <f t="shared" si="15"/>
        <v>#DIV/0!</v>
      </c>
      <c r="AI41" s="29" t="e">
        <f t="shared" si="15"/>
        <v>#DIV/0!</v>
      </c>
      <c r="AJ41" s="29" t="e">
        <f t="shared" si="15"/>
        <v>#DIV/0!</v>
      </c>
      <c r="AK41" s="29" t="e">
        <f t="shared" si="15"/>
        <v>#DIV/0!</v>
      </c>
      <c r="AL41" s="29" t="e">
        <f t="shared" si="15"/>
        <v>#DIV/0!</v>
      </c>
      <c r="AM41" s="29" t="e">
        <f t="shared" si="15"/>
        <v>#DIV/0!</v>
      </c>
      <c r="AN41" s="29" t="e">
        <f t="shared" si="15"/>
        <v>#DIV/0!</v>
      </c>
    </row>
    <row r="42" spans="1:40" x14ac:dyDescent="0.3">
      <c r="A42" s="16" t="s">
        <v>81</v>
      </c>
      <c r="B42" s="17" t="s">
        <v>43</v>
      </c>
      <c r="C42" s="1" t="s">
        <v>60</v>
      </c>
      <c r="D42" s="30" t="e">
        <f>(D20-D21)/D19</f>
        <v>#DIV/0!</v>
      </c>
      <c r="E42" s="30" t="e">
        <f t="shared" ref="E42:AN42" si="16">(E20-E21)/E19</f>
        <v>#DIV/0!</v>
      </c>
      <c r="F42" s="30" t="e">
        <f t="shared" si="16"/>
        <v>#DIV/0!</v>
      </c>
      <c r="G42" s="30" t="e">
        <f t="shared" si="16"/>
        <v>#DIV/0!</v>
      </c>
      <c r="H42" s="30" t="e">
        <f t="shared" si="16"/>
        <v>#DIV/0!</v>
      </c>
      <c r="I42" s="30" t="e">
        <f t="shared" si="16"/>
        <v>#DIV/0!</v>
      </c>
      <c r="J42" s="30" t="e">
        <f t="shared" si="16"/>
        <v>#DIV/0!</v>
      </c>
      <c r="K42" s="30" t="e">
        <f t="shared" si="16"/>
        <v>#DIV/0!</v>
      </c>
      <c r="L42" s="30" t="e">
        <f t="shared" si="16"/>
        <v>#DIV/0!</v>
      </c>
      <c r="M42" s="30" t="e">
        <f t="shared" si="16"/>
        <v>#DIV/0!</v>
      </c>
      <c r="N42" s="30" t="e">
        <f t="shared" si="16"/>
        <v>#DIV/0!</v>
      </c>
      <c r="O42" s="30" t="e">
        <f t="shared" si="16"/>
        <v>#DIV/0!</v>
      </c>
      <c r="P42" s="30" t="e">
        <f t="shared" si="16"/>
        <v>#DIV/0!</v>
      </c>
      <c r="Q42" s="30" t="e">
        <f t="shared" si="16"/>
        <v>#DIV/0!</v>
      </c>
      <c r="R42" s="30" t="e">
        <f t="shared" si="16"/>
        <v>#DIV/0!</v>
      </c>
      <c r="S42" s="30" t="e">
        <f t="shared" si="16"/>
        <v>#DIV/0!</v>
      </c>
      <c r="T42" s="30" t="e">
        <f t="shared" si="16"/>
        <v>#DIV/0!</v>
      </c>
      <c r="U42" s="30" t="e">
        <f t="shared" si="16"/>
        <v>#DIV/0!</v>
      </c>
      <c r="V42" s="30" t="e">
        <f t="shared" si="16"/>
        <v>#DIV/0!</v>
      </c>
      <c r="W42" s="30" t="e">
        <f t="shared" si="16"/>
        <v>#DIV/0!</v>
      </c>
      <c r="X42" s="30" t="e">
        <f t="shared" si="16"/>
        <v>#DIV/0!</v>
      </c>
      <c r="Y42" s="30" t="e">
        <f t="shared" si="16"/>
        <v>#DIV/0!</v>
      </c>
      <c r="Z42" s="30" t="e">
        <f t="shared" si="16"/>
        <v>#DIV/0!</v>
      </c>
      <c r="AA42" s="30" t="e">
        <f t="shared" si="16"/>
        <v>#DIV/0!</v>
      </c>
      <c r="AB42" s="30" t="e">
        <f t="shared" si="16"/>
        <v>#DIV/0!</v>
      </c>
      <c r="AC42" s="30" t="e">
        <f t="shared" si="16"/>
        <v>#DIV/0!</v>
      </c>
      <c r="AD42" s="30" t="e">
        <f t="shared" si="16"/>
        <v>#DIV/0!</v>
      </c>
      <c r="AE42" s="30" t="e">
        <f t="shared" si="16"/>
        <v>#DIV/0!</v>
      </c>
      <c r="AF42" s="30" t="e">
        <f t="shared" si="16"/>
        <v>#DIV/0!</v>
      </c>
      <c r="AG42" s="30" t="e">
        <f t="shared" si="16"/>
        <v>#DIV/0!</v>
      </c>
      <c r="AH42" s="30" t="e">
        <f t="shared" si="16"/>
        <v>#DIV/0!</v>
      </c>
      <c r="AI42" s="30" t="e">
        <f t="shared" si="16"/>
        <v>#DIV/0!</v>
      </c>
      <c r="AJ42" s="30" t="e">
        <f t="shared" si="16"/>
        <v>#DIV/0!</v>
      </c>
      <c r="AK42" s="30" t="e">
        <f t="shared" si="16"/>
        <v>#DIV/0!</v>
      </c>
      <c r="AL42" s="30" t="e">
        <f t="shared" si="16"/>
        <v>#DIV/0!</v>
      </c>
      <c r="AM42" s="30" t="e">
        <f t="shared" si="16"/>
        <v>#DIV/0!</v>
      </c>
      <c r="AN42" s="30" t="e">
        <f t="shared" si="16"/>
        <v>#DIV/0!</v>
      </c>
    </row>
    <row r="43" spans="1:40" x14ac:dyDescent="0.3">
      <c r="A43" s="18" t="s">
        <v>82</v>
      </c>
      <c r="B43" s="49" t="s">
        <v>44</v>
      </c>
      <c r="C43" s="6" t="s">
        <v>62</v>
      </c>
      <c r="D43" s="29" t="e">
        <f>D14/D19</f>
        <v>#DIV/0!</v>
      </c>
      <c r="E43" s="29" t="e">
        <f t="shared" ref="E43:AN43" si="17">E14/E19</f>
        <v>#DIV/0!</v>
      </c>
      <c r="F43" s="29" t="e">
        <f t="shared" si="17"/>
        <v>#DIV/0!</v>
      </c>
      <c r="G43" s="29" t="e">
        <f t="shared" si="17"/>
        <v>#DIV/0!</v>
      </c>
      <c r="H43" s="29" t="e">
        <f t="shared" si="17"/>
        <v>#DIV/0!</v>
      </c>
      <c r="I43" s="29" t="e">
        <f t="shared" si="17"/>
        <v>#DIV/0!</v>
      </c>
      <c r="J43" s="29" t="e">
        <f t="shared" si="17"/>
        <v>#DIV/0!</v>
      </c>
      <c r="K43" s="29" t="e">
        <f t="shared" si="17"/>
        <v>#DIV/0!</v>
      </c>
      <c r="L43" s="29" t="e">
        <f t="shared" si="17"/>
        <v>#DIV/0!</v>
      </c>
      <c r="M43" s="29" t="e">
        <f t="shared" si="17"/>
        <v>#DIV/0!</v>
      </c>
      <c r="N43" s="29" t="e">
        <f t="shared" si="17"/>
        <v>#DIV/0!</v>
      </c>
      <c r="O43" s="29" t="e">
        <f t="shared" si="17"/>
        <v>#DIV/0!</v>
      </c>
      <c r="P43" s="29" t="e">
        <f t="shared" si="17"/>
        <v>#DIV/0!</v>
      </c>
      <c r="Q43" s="29" t="e">
        <f t="shared" si="17"/>
        <v>#DIV/0!</v>
      </c>
      <c r="R43" s="29" t="e">
        <f t="shared" si="17"/>
        <v>#DIV/0!</v>
      </c>
      <c r="S43" s="29" t="e">
        <f t="shared" si="17"/>
        <v>#DIV/0!</v>
      </c>
      <c r="T43" s="29" t="e">
        <f t="shared" si="17"/>
        <v>#DIV/0!</v>
      </c>
      <c r="U43" s="29" t="e">
        <f t="shared" si="17"/>
        <v>#DIV/0!</v>
      </c>
      <c r="V43" s="29" t="e">
        <f t="shared" si="17"/>
        <v>#DIV/0!</v>
      </c>
      <c r="W43" s="29" t="e">
        <f t="shared" si="17"/>
        <v>#DIV/0!</v>
      </c>
      <c r="X43" s="29" t="e">
        <f t="shared" si="17"/>
        <v>#DIV/0!</v>
      </c>
      <c r="Y43" s="29" t="e">
        <f t="shared" si="17"/>
        <v>#DIV/0!</v>
      </c>
      <c r="Z43" s="29" t="e">
        <f t="shared" si="17"/>
        <v>#DIV/0!</v>
      </c>
      <c r="AA43" s="29" t="e">
        <f t="shared" si="17"/>
        <v>#DIV/0!</v>
      </c>
      <c r="AB43" s="29" t="e">
        <f t="shared" si="17"/>
        <v>#DIV/0!</v>
      </c>
      <c r="AC43" s="29" t="e">
        <f t="shared" si="17"/>
        <v>#DIV/0!</v>
      </c>
      <c r="AD43" s="29" t="e">
        <f t="shared" si="17"/>
        <v>#DIV/0!</v>
      </c>
      <c r="AE43" s="29" t="e">
        <f t="shared" si="17"/>
        <v>#DIV/0!</v>
      </c>
      <c r="AF43" s="29" t="e">
        <f t="shared" si="17"/>
        <v>#DIV/0!</v>
      </c>
      <c r="AG43" s="29" t="e">
        <f t="shared" si="17"/>
        <v>#DIV/0!</v>
      </c>
      <c r="AH43" s="29" t="e">
        <f t="shared" si="17"/>
        <v>#DIV/0!</v>
      </c>
      <c r="AI43" s="29" t="e">
        <f t="shared" si="17"/>
        <v>#DIV/0!</v>
      </c>
      <c r="AJ43" s="29" t="e">
        <f t="shared" si="17"/>
        <v>#DIV/0!</v>
      </c>
      <c r="AK43" s="29" t="e">
        <f t="shared" si="17"/>
        <v>#DIV/0!</v>
      </c>
      <c r="AL43" s="29" t="e">
        <f t="shared" si="17"/>
        <v>#DIV/0!</v>
      </c>
      <c r="AM43" s="29" t="e">
        <f t="shared" si="17"/>
        <v>#DIV/0!</v>
      </c>
      <c r="AN43" s="29" t="e">
        <f t="shared" si="17"/>
        <v>#DIV/0!</v>
      </c>
    </row>
    <row r="44" spans="1:40" x14ac:dyDescent="0.3">
      <c r="A44" s="16" t="s">
        <v>83</v>
      </c>
      <c r="B44" s="17" t="s">
        <v>45</v>
      </c>
      <c r="C44" s="1" t="s">
        <v>63</v>
      </c>
      <c r="D44" s="1" t="e">
        <f>D29/D7</f>
        <v>#DIV/0!</v>
      </c>
      <c r="E44" s="1" t="e">
        <f t="shared" ref="E44:AN44" si="18">E29/E7</f>
        <v>#DIV/0!</v>
      </c>
      <c r="F44" s="1" t="e">
        <f t="shared" si="18"/>
        <v>#DIV/0!</v>
      </c>
      <c r="G44" s="1" t="e">
        <f t="shared" si="18"/>
        <v>#DIV/0!</v>
      </c>
      <c r="H44" s="1" t="e">
        <f t="shared" si="18"/>
        <v>#DIV/0!</v>
      </c>
      <c r="I44" s="1" t="e">
        <f t="shared" si="18"/>
        <v>#DIV/0!</v>
      </c>
      <c r="J44" s="1" t="e">
        <f t="shared" si="18"/>
        <v>#DIV/0!</v>
      </c>
      <c r="K44" s="1" t="e">
        <f t="shared" si="18"/>
        <v>#DIV/0!</v>
      </c>
      <c r="L44" s="1" t="e">
        <f t="shared" si="18"/>
        <v>#DIV/0!</v>
      </c>
      <c r="M44" s="1" t="e">
        <f t="shared" si="18"/>
        <v>#DIV/0!</v>
      </c>
      <c r="N44" s="1" t="e">
        <f t="shared" si="18"/>
        <v>#DIV/0!</v>
      </c>
      <c r="O44" s="1" t="e">
        <f t="shared" si="18"/>
        <v>#DIV/0!</v>
      </c>
      <c r="P44" s="1" t="e">
        <f t="shared" si="18"/>
        <v>#DIV/0!</v>
      </c>
      <c r="Q44" s="1" t="e">
        <f t="shared" si="18"/>
        <v>#DIV/0!</v>
      </c>
      <c r="R44" s="1" t="e">
        <f t="shared" si="18"/>
        <v>#DIV/0!</v>
      </c>
      <c r="S44" s="1" t="e">
        <f t="shared" si="18"/>
        <v>#DIV/0!</v>
      </c>
      <c r="T44" s="1" t="e">
        <f t="shared" si="18"/>
        <v>#DIV/0!</v>
      </c>
      <c r="U44" s="1" t="e">
        <f t="shared" si="18"/>
        <v>#DIV/0!</v>
      </c>
      <c r="V44" s="1" t="e">
        <f t="shared" si="18"/>
        <v>#DIV/0!</v>
      </c>
      <c r="W44" s="1" t="e">
        <f t="shared" si="18"/>
        <v>#DIV/0!</v>
      </c>
      <c r="X44" s="1" t="e">
        <f t="shared" si="18"/>
        <v>#DIV/0!</v>
      </c>
      <c r="Y44" s="1" t="e">
        <f t="shared" si="18"/>
        <v>#DIV/0!</v>
      </c>
      <c r="Z44" s="1" t="e">
        <f t="shared" si="18"/>
        <v>#DIV/0!</v>
      </c>
      <c r="AA44" s="1" t="e">
        <f t="shared" si="18"/>
        <v>#DIV/0!</v>
      </c>
      <c r="AB44" s="1" t="e">
        <f t="shared" si="18"/>
        <v>#DIV/0!</v>
      </c>
      <c r="AC44" s="1" t="e">
        <f t="shared" si="18"/>
        <v>#DIV/0!</v>
      </c>
      <c r="AD44" s="1" t="e">
        <f t="shared" si="18"/>
        <v>#DIV/0!</v>
      </c>
      <c r="AE44" s="1" t="e">
        <f t="shared" si="18"/>
        <v>#DIV/0!</v>
      </c>
      <c r="AF44" s="1" t="e">
        <f t="shared" si="18"/>
        <v>#DIV/0!</v>
      </c>
      <c r="AG44" s="1" t="e">
        <f t="shared" si="18"/>
        <v>#DIV/0!</v>
      </c>
      <c r="AH44" s="1" t="e">
        <f t="shared" si="18"/>
        <v>#DIV/0!</v>
      </c>
      <c r="AI44" s="1" t="e">
        <f t="shared" si="18"/>
        <v>#DIV/0!</v>
      </c>
      <c r="AJ44" s="1" t="e">
        <f t="shared" si="18"/>
        <v>#DIV/0!</v>
      </c>
      <c r="AK44" s="1" t="e">
        <f t="shared" si="18"/>
        <v>#DIV/0!</v>
      </c>
      <c r="AL44" s="1" t="e">
        <f t="shared" si="18"/>
        <v>#DIV/0!</v>
      </c>
      <c r="AM44" s="1" t="e">
        <f t="shared" si="18"/>
        <v>#DIV/0!</v>
      </c>
      <c r="AN44" s="1" t="e">
        <f t="shared" si="18"/>
        <v>#DIV/0!</v>
      </c>
    </row>
    <row r="45" spans="1:40" x14ac:dyDescent="0.3">
      <c r="A45" s="18" t="s">
        <v>84</v>
      </c>
      <c r="B45" s="54" t="s">
        <v>99</v>
      </c>
      <c r="C45" s="6" t="s">
        <v>64</v>
      </c>
      <c r="D45" s="6" t="e">
        <f>D18/D23</f>
        <v>#DIV/0!</v>
      </c>
      <c r="E45" s="6" t="e">
        <f t="shared" ref="E45:AN45" si="19">E18/E23</f>
        <v>#DIV/0!</v>
      </c>
      <c r="F45" s="6" t="e">
        <f t="shared" si="19"/>
        <v>#DIV/0!</v>
      </c>
      <c r="G45" s="6" t="e">
        <f t="shared" si="19"/>
        <v>#DIV/0!</v>
      </c>
      <c r="H45" s="6" t="e">
        <f t="shared" si="19"/>
        <v>#DIV/0!</v>
      </c>
      <c r="I45" s="6" t="e">
        <f t="shared" si="19"/>
        <v>#DIV/0!</v>
      </c>
      <c r="J45" s="6" t="e">
        <f t="shared" si="19"/>
        <v>#DIV/0!</v>
      </c>
      <c r="K45" s="6" t="e">
        <f t="shared" si="19"/>
        <v>#DIV/0!</v>
      </c>
      <c r="L45" s="6" t="e">
        <f t="shared" si="19"/>
        <v>#DIV/0!</v>
      </c>
      <c r="M45" s="6" t="e">
        <f t="shared" si="19"/>
        <v>#DIV/0!</v>
      </c>
      <c r="N45" s="6" t="e">
        <f t="shared" si="19"/>
        <v>#DIV/0!</v>
      </c>
      <c r="O45" s="6" t="e">
        <f t="shared" si="19"/>
        <v>#DIV/0!</v>
      </c>
      <c r="P45" s="6" t="e">
        <f t="shared" si="19"/>
        <v>#DIV/0!</v>
      </c>
      <c r="Q45" s="6" t="e">
        <f t="shared" si="19"/>
        <v>#DIV/0!</v>
      </c>
      <c r="R45" s="6" t="e">
        <f t="shared" si="19"/>
        <v>#DIV/0!</v>
      </c>
      <c r="S45" s="6" t="e">
        <f t="shared" si="19"/>
        <v>#DIV/0!</v>
      </c>
      <c r="T45" s="6" t="e">
        <f t="shared" si="19"/>
        <v>#DIV/0!</v>
      </c>
      <c r="U45" s="6" t="e">
        <f t="shared" si="19"/>
        <v>#DIV/0!</v>
      </c>
      <c r="V45" s="6" t="e">
        <f t="shared" si="19"/>
        <v>#DIV/0!</v>
      </c>
      <c r="W45" s="6" t="e">
        <f t="shared" si="19"/>
        <v>#DIV/0!</v>
      </c>
      <c r="X45" s="6" t="e">
        <f t="shared" si="19"/>
        <v>#DIV/0!</v>
      </c>
      <c r="Y45" s="6" t="e">
        <f t="shared" si="19"/>
        <v>#DIV/0!</v>
      </c>
      <c r="Z45" s="6" t="e">
        <f t="shared" si="19"/>
        <v>#DIV/0!</v>
      </c>
      <c r="AA45" s="6" t="e">
        <f t="shared" si="19"/>
        <v>#DIV/0!</v>
      </c>
      <c r="AB45" s="6" t="e">
        <f t="shared" si="19"/>
        <v>#DIV/0!</v>
      </c>
      <c r="AC45" s="6" t="e">
        <f t="shared" si="19"/>
        <v>#DIV/0!</v>
      </c>
      <c r="AD45" s="6" t="e">
        <f t="shared" si="19"/>
        <v>#DIV/0!</v>
      </c>
      <c r="AE45" s="6" t="e">
        <f t="shared" si="19"/>
        <v>#DIV/0!</v>
      </c>
      <c r="AF45" s="6" t="e">
        <f t="shared" si="19"/>
        <v>#DIV/0!</v>
      </c>
      <c r="AG45" s="6" t="e">
        <f t="shared" si="19"/>
        <v>#DIV/0!</v>
      </c>
      <c r="AH45" s="6" t="e">
        <f t="shared" si="19"/>
        <v>#DIV/0!</v>
      </c>
      <c r="AI45" s="6" t="e">
        <f t="shared" si="19"/>
        <v>#DIV/0!</v>
      </c>
      <c r="AJ45" s="6" t="e">
        <f t="shared" si="19"/>
        <v>#DIV/0!</v>
      </c>
      <c r="AK45" s="6" t="e">
        <f t="shared" si="19"/>
        <v>#DIV/0!</v>
      </c>
      <c r="AL45" s="6" t="e">
        <f t="shared" si="19"/>
        <v>#DIV/0!</v>
      </c>
      <c r="AM45" s="6" t="e">
        <f t="shared" si="19"/>
        <v>#DIV/0!</v>
      </c>
      <c r="AN45" s="6" t="e">
        <f t="shared" si="19"/>
        <v>#DIV/0!</v>
      </c>
    </row>
    <row r="46" spans="1:40" x14ac:dyDescent="0.3">
      <c r="A46" s="18" t="s">
        <v>97</v>
      </c>
      <c r="B46" s="17" t="s">
        <v>100</v>
      </c>
      <c r="C46" s="6" t="s">
        <v>95</v>
      </c>
      <c r="D46" s="28" t="e">
        <f>D13/D4</f>
        <v>#DIV/0!</v>
      </c>
      <c r="E46" s="28" t="e">
        <f t="shared" ref="E46:AN46" si="20">E13/E4</f>
        <v>#DIV/0!</v>
      </c>
      <c r="F46" s="28" t="e">
        <f t="shared" si="20"/>
        <v>#DIV/0!</v>
      </c>
      <c r="G46" s="28" t="e">
        <f t="shared" si="20"/>
        <v>#DIV/0!</v>
      </c>
      <c r="H46" s="28" t="e">
        <f t="shared" si="20"/>
        <v>#DIV/0!</v>
      </c>
      <c r="I46" s="28" t="e">
        <f t="shared" si="20"/>
        <v>#DIV/0!</v>
      </c>
      <c r="J46" s="28" t="e">
        <f t="shared" si="20"/>
        <v>#DIV/0!</v>
      </c>
      <c r="K46" s="28" t="e">
        <f t="shared" si="20"/>
        <v>#DIV/0!</v>
      </c>
      <c r="L46" s="28" t="e">
        <f t="shared" si="20"/>
        <v>#DIV/0!</v>
      </c>
      <c r="M46" s="28" t="e">
        <f t="shared" si="20"/>
        <v>#DIV/0!</v>
      </c>
      <c r="N46" s="28" t="e">
        <f t="shared" si="20"/>
        <v>#DIV/0!</v>
      </c>
      <c r="O46" s="28" t="e">
        <f t="shared" si="20"/>
        <v>#DIV/0!</v>
      </c>
      <c r="P46" s="28" t="e">
        <f t="shared" si="20"/>
        <v>#DIV/0!</v>
      </c>
      <c r="Q46" s="28" t="e">
        <f t="shared" si="20"/>
        <v>#DIV/0!</v>
      </c>
      <c r="R46" s="28" t="e">
        <f t="shared" si="20"/>
        <v>#DIV/0!</v>
      </c>
      <c r="S46" s="28" t="e">
        <f t="shared" si="20"/>
        <v>#DIV/0!</v>
      </c>
      <c r="T46" s="28" t="e">
        <f t="shared" si="20"/>
        <v>#DIV/0!</v>
      </c>
      <c r="U46" s="28" t="e">
        <f t="shared" si="20"/>
        <v>#DIV/0!</v>
      </c>
      <c r="V46" s="28" t="e">
        <f t="shared" si="20"/>
        <v>#DIV/0!</v>
      </c>
      <c r="W46" s="28" t="e">
        <f t="shared" si="20"/>
        <v>#DIV/0!</v>
      </c>
      <c r="X46" s="28" t="e">
        <f t="shared" si="20"/>
        <v>#DIV/0!</v>
      </c>
      <c r="Y46" s="28" t="e">
        <f t="shared" si="20"/>
        <v>#DIV/0!</v>
      </c>
      <c r="Z46" s="28" t="e">
        <f t="shared" si="20"/>
        <v>#DIV/0!</v>
      </c>
      <c r="AA46" s="28" t="e">
        <f t="shared" si="20"/>
        <v>#DIV/0!</v>
      </c>
      <c r="AB46" s="28" t="e">
        <f t="shared" si="20"/>
        <v>#DIV/0!</v>
      </c>
      <c r="AC46" s="28" t="e">
        <f t="shared" si="20"/>
        <v>#DIV/0!</v>
      </c>
      <c r="AD46" s="28" t="e">
        <f t="shared" si="20"/>
        <v>#DIV/0!</v>
      </c>
      <c r="AE46" s="28" t="e">
        <f t="shared" si="20"/>
        <v>#DIV/0!</v>
      </c>
      <c r="AF46" s="28" t="e">
        <f t="shared" si="20"/>
        <v>#DIV/0!</v>
      </c>
      <c r="AG46" s="28" t="e">
        <f t="shared" si="20"/>
        <v>#DIV/0!</v>
      </c>
      <c r="AH46" s="28" t="e">
        <f t="shared" si="20"/>
        <v>#DIV/0!</v>
      </c>
      <c r="AI46" s="28" t="e">
        <f t="shared" si="20"/>
        <v>#DIV/0!</v>
      </c>
      <c r="AJ46" s="28" t="e">
        <f t="shared" si="20"/>
        <v>#DIV/0!</v>
      </c>
      <c r="AK46" s="28" t="e">
        <f t="shared" si="20"/>
        <v>#DIV/0!</v>
      </c>
      <c r="AL46" s="28" t="e">
        <f t="shared" si="20"/>
        <v>#DIV/0!</v>
      </c>
      <c r="AM46" s="28" t="e">
        <f t="shared" si="20"/>
        <v>#DIV/0!</v>
      </c>
      <c r="AN46" s="28" t="e">
        <f t="shared" si="20"/>
        <v>#DIV/0!</v>
      </c>
    </row>
    <row r="51" spans="6:6" x14ac:dyDescent="0.3">
      <c r="F51" s="69"/>
    </row>
  </sheetData>
  <mergeCells count="2">
    <mergeCell ref="A6:A13"/>
    <mergeCell ref="A14:A23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FAC17-1040-4240-AE6D-0548DDA78369}">
  <sheetPr codeName="Planilha14"/>
  <dimension ref="A3:U46"/>
  <sheetViews>
    <sheetView topLeftCell="A22" workbookViewId="0">
      <selection activeCell="T41" sqref="T41"/>
    </sheetView>
  </sheetViews>
  <sheetFormatPr defaultRowHeight="14.4" x14ac:dyDescent="0.3"/>
  <cols>
    <col min="1" max="1" width="10" bestFit="1" customWidth="1"/>
    <col min="2" max="2" width="4" bestFit="1" customWidth="1"/>
    <col min="3" max="3" width="25.5546875" bestFit="1" customWidth="1"/>
    <col min="4" max="17" width="8.33203125" customWidth="1"/>
    <col min="18" max="18" width="8.44140625" customWidth="1"/>
  </cols>
  <sheetData>
    <row r="3" spans="1:21" s="10" customFormat="1" x14ac:dyDescent="0.3">
      <c r="A3" s="9" t="s">
        <v>25</v>
      </c>
      <c r="B3" s="8" t="s">
        <v>23</v>
      </c>
      <c r="C3" s="9" t="s">
        <v>24</v>
      </c>
      <c r="D3" s="8">
        <v>8</v>
      </c>
      <c r="E3" s="8">
        <v>9</v>
      </c>
      <c r="F3" s="8">
        <v>10</v>
      </c>
      <c r="G3" s="8">
        <v>11</v>
      </c>
      <c r="H3" s="8">
        <v>12</v>
      </c>
      <c r="I3" s="8">
        <v>13</v>
      </c>
      <c r="J3" s="8">
        <v>14</v>
      </c>
      <c r="K3" s="8">
        <v>15</v>
      </c>
      <c r="L3" s="8">
        <v>16</v>
      </c>
      <c r="M3" s="8">
        <v>17</v>
      </c>
      <c r="N3" s="8">
        <v>18</v>
      </c>
      <c r="O3" s="8">
        <v>19</v>
      </c>
      <c r="P3" s="8">
        <v>20</v>
      </c>
      <c r="Q3" s="8" t="s">
        <v>3</v>
      </c>
      <c r="R3" s="8" t="s">
        <v>94</v>
      </c>
      <c r="S3" s="8" t="s">
        <v>116</v>
      </c>
      <c r="T3" s="8" t="s">
        <v>117</v>
      </c>
      <c r="U3" s="8" t="s">
        <v>118</v>
      </c>
    </row>
    <row r="4" spans="1:21" x14ac:dyDescent="0.3">
      <c r="A4" s="4" t="s">
        <v>5</v>
      </c>
      <c r="B4" s="11">
        <v>1</v>
      </c>
      <c r="C4" s="6" t="s">
        <v>4</v>
      </c>
      <c r="D4" s="19">
        <v>5</v>
      </c>
      <c r="E4" s="19">
        <v>6.63</v>
      </c>
      <c r="F4" s="19">
        <v>4.34</v>
      </c>
      <c r="G4" s="19">
        <v>4.7300000000000004</v>
      </c>
      <c r="H4" s="19">
        <v>3.99</v>
      </c>
      <c r="I4" s="19">
        <v>3.86</v>
      </c>
      <c r="J4" s="19">
        <v>5.4</v>
      </c>
      <c r="K4" s="19">
        <v>7.25</v>
      </c>
      <c r="L4" s="19">
        <v>6.04</v>
      </c>
      <c r="M4" s="19">
        <v>6.97</v>
      </c>
      <c r="N4" s="19">
        <v>7.7750000000000004</v>
      </c>
      <c r="O4" s="19">
        <v>10.5</v>
      </c>
      <c r="P4" s="19">
        <v>21.9</v>
      </c>
      <c r="Q4" s="19">
        <v>17.100000000000001</v>
      </c>
      <c r="R4" s="19">
        <v>17.100000000000001</v>
      </c>
      <c r="S4" s="19">
        <v>17.100000000000001</v>
      </c>
      <c r="T4" s="19">
        <v>17.100000000000001</v>
      </c>
      <c r="U4" s="19">
        <v>17.100000000000001</v>
      </c>
    </row>
    <row r="5" spans="1:21" x14ac:dyDescent="0.3">
      <c r="A5" s="5" t="s">
        <v>8</v>
      </c>
      <c r="B5" s="12">
        <v>3</v>
      </c>
      <c r="C5" s="1" t="s">
        <v>86</v>
      </c>
      <c r="D5" s="3">
        <v>872.30816200000004</v>
      </c>
      <c r="E5" s="3">
        <v>872.30816200000004</v>
      </c>
      <c r="F5" s="3">
        <v>872.30816200000004</v>
      </c>
      <c r="G5" s="3">
        <v>872.30816200000004</v>
      </c>
      <c r="H5" s="3">
        <v>872.30816200000004</v>
      </c>
      <c r="I5" s="3">
        <v>872.30816200000004</v>
      </c>
      <c r="J5" s="3">
        <v>872.30816200000004</v>
      </c>
      <c r="K5" s="3">
        <v>872.30816200000004</v>
      </c>
      <c r="L5" s="3">
        <v>872.30816200000004</v>
      </c>
      <c r="M5" s="3">
        <v>872.30816200000004</v>
      </c>
      <c r="N5" s="3">
        <v>872.30816200000004</v>
      </c>
      <c r="O5" s="3">
        <v>872.30816200000004</v>
      </c>
      <c r="P5" s="3">
        <v>872.30816200000004</v>
      </c>
      <c r="Q5" s="3">
        <v>955.73</v>
      </c>
      <c r="R5" s="3">
        <v>960.76</v>
      </c>
      <c r="S5" s="3">
        <v>960.76</v>
      </c>
      <c r="T5" s="3">
        <v>960.76</v>
      </c>
      <c r="U5" s="3">
        <v>960.76</v>
      </c>
    </row>
    <row r="6" spans="1:21" x14ac:dyDescent="0.3">
      <c r="A6" s="101" t="s">
        <v>7</v>
      </c>
      <c r="B6" s="13">
        <v>4</v>
      </c>
      <c r="C6" s="6" t="s">
        <v>104</v>
      </c>
      <c r="D6" s="7">
        <v>126.93600000000001</v>
      </c>
      <c r="E6" s="7">
        <v>196.697</v>
      </c>
      <c r="F6" s="7">
        <v>947.6</v>
      </c>
      <c r="G6" s="7">
        <v>1068.8</v>
      </c>
      <c r="H6" s="7">
        <v>1285.146</v>
      </c>
      <c r="I6" s="7">
        <v>1356.0640000000001</v>
      </c>
      <c r="J6" s="7">
        <v>1276.7080000000001</v>
      </c>
      <c r="K6" s="7">
        <v>1547.047</v>
      </c>
      <c r="L6" s="7">
        <v>1650.758</v>
      </c>
      <c r="M6" s="7">
        <v>1827.1869999999999</v>
      </c>
      <c r="N6" s="7">
        <v>1697</v>
      </c>
      <c r="O6" s="7">
        <v>1824</v>
      </c>
      <c r="P6" s="7">
        <v>1731</v>
      </c>
      <c r="Q6" s="7">
        <v>1816</v>
      </c>
      <c r="R6" s="3">
        <v>2056</v>
      </c>
      <c r="S6" s="7">
        <v>2307</v>
      </c>
      <c r="T6" s="7">
        <v>2546</v>
      </c>
      <c r="U6" s="7">
        <v>2884</v>
      </c>
    </row>
    <row r="7" spans="1:21" x14ac:dyDescent="0.3">
      <c r="A7" s="101"/>
      <c r="B7" s="13">
        <v>5</v>
      </c>
      <c r="C7" s="1" t="s">
        <v>9</v>
      </c>
      <c r="D7" s="7">
        <v>119.687</v>
      </c>
      <c r="E7" s="3">
        <v>543</v>
      </c>
      <c r="F7" s="3">
        <v>712.7</v>
      </c>
      <c r="G7" s="3">
        <v>800.7</v>
      </c>
      <c r="H7" s="3">
        <v>938</v>
      </c>
      <c r="I7" s="3">
        <v>947</v>
      </c>
      <c r="J7" s="3">
        <v>903</v>
      </c>
      <c r="K7" s="3">
        <v>1142</v>
      </c>
      <c r="L7" s="3">
        <v>1170.951</v>
      </c>
      <c r="M7" s="3">
        <v>1366.318</v>
      </c>
      <c r="N7" s="3">
        <v>1300</v>
      </c>
      <c r="O7" s="3">
        <v>1649</v>
      </c>
      <c r="P7" s="3">
        <v>1655</v>
      </c>
      <c r="Q7" s="3">
        <v>1606</v>
      </c>
      <c r="R7" s="3">
        <v>1785</v>
      </c>
      <c r="S7" s="62">
        <v>1959</v>
      </c>
      <c r="T7" s="62">
        <v>2120</v>
      </c>
      <c r="U7" s="62">
        <v>2360</v>
      </c>
    </row>
    <row r="8" spans="1:21" x14ac:dyDescent="0.3">
      <c r="A8" s="101"/>
      <c r="B8" s="13">
        <v>6</v>
      </c>
      <c r="C8" s="6" t="s">
        <v>10</v>
      </c>
      <c r="D8" s="7">
        <v>119.687</v>
      </c>
      <c r="E8" s="7">
        <v>174.94399999999999</v>
      </c>
      <c r="F8" s="7">
        <v>289.89999999999998</v>
      </c>
      <c r="G8" s="7">
        <v>347.5</v>
      </c>
      <c r="H8" s="7">
        <v>450.10599999999999</v>
      </c>
      <c r="I8" s="7">
        <v>473.15100000000001</v>
      </c>
      <c r="J8" s="7">
        <v>422.40899999999999</v>
      </c>
      <c r="K8" s="7">
        <v>577.83799999999997</v>
      </c>
      <c r="L8" s="7">
        <v>563.95899999999995</v>
      </c>
      <c r="M8" s="7">
        <v>803.13699999999994</v>
      </c>
      <c r="N8" s="7">
        <v>753.7</v>
      </c>
      <c r="O8" s="7">
        <v>1055</v>
      </c>
      <c r="P8" s="7">
        <v>1054</v>
      </c>
      <c r="Q8" s="7">
        <v>1009</v>
      </c>
      <c r="R8" s="3">
        <v>1108</v>
      </c>
      <c r="S8" s="7">
        <v>1219</v>
      </c>
      <c r="T8" s="7">
        <v>1337</v>
      </c>
      <c r="U8" s="7">
        <v>1447</v>
      </c>
    </row>
    <row r="9" spans="1:21" x14ac:dyDescent="0.3">
      <c r="A9" s="101"/>
      <c r="B9" s="13">
        <v>11</v>
      </c>
      <c r="C9" s="1" t="s">
        <v>11</v>
      </c>
      <c r="D9" s="3">
        <v>-12.868</v>
      </c>
      <c r="E9" s="3">
        <v>-77.795000000000002</v>
      </c>
      <c r="F9" s="3">
        <v>-174.1</v>
      </c>
      <c r="G9" s="3">
        <v>-244.1</v>
      </c>
      <c r="H9" s="3">
        <v>-277.61599999999999</v>
      </c>
      <c r="I9" s="3">
        <v>-263.21499999999997</v>
      </c>
      <c r="J9" s="3">
        <v>-249.87899999999999</v>
      </c>
      <c r="K9" s="3">
        <v>-285.483</v>
      </c>
      <c r="L9" s="3">
        <v>-350.09300000000002</v>
      </c>
      <c r="M9" s="3">
        <v>-301.58</v>
      </c>
      <c r="N9" s="3">
        <v>-219.7</v>
      </c>
      <c r="O9" s="3">
        <v>-195.02</v>
      </c>
      <c r="P9" s="3">
        <v>-140.68</v>
      </c>
      <c r="Q9" s="3">
        <v>-272.39999999999998</v>
      </c>
      <c r="R9" s="3">
        <v>-283.3</v>
      </c>
      <c r="S9" s="62">
        <v>-309.29000000000002</v>
      </c>
      <c r="T9" s="62">
        <v>-328.6</v>
      </c>
      <c r="U9" s="62">
        <v>-361.4</v>
      </c>
    </row>
    <row r="10" spans="1:21" x14ac:dyDescent="0.3">
      <c r="A10" s="101"/>
      <c r="B10" s="13">
        <v>12</v>
      </c>
      <c r="C10" s="6" t="s">
        <v>12</v>
      </c>
      <c r="D10" s="7">
        <v>106.819</v>
      </c>
      <c r="E10" s="7">
        <v>97.149000000000001</v>
      </c>
      <c r="F10" s="7">
        <v>120.8</v>
      </c>
      <c r="G10" s="7">
        <v>118.7</v>
      </c>
      <c r="H10" s="7">
        <v>182.089</v>
      </c>
      <c r="I10" s="7">
        <v>225.84200000000001</v>
      </c>
      <c r="J10" s="7">
        <v>194.286</v>
      </c>
      <c r="K10" s="7">
        <v>290.83800000000002</v>
      </c>
      <c r="L10" s="7">
        <v>213.68100000000001</v>
      </c>
      <c r="M10" s="7">
        <v>504.26499999999999</v>
      </c>
      <c r="N10" s="7">
        <v>535.6</v>
      </c>
      <c r="O10" s="7">
        <v>709.11</v>
      </c>
      <c r="P10" s="7">
        <v>768.93</v>
      </c>
      <c r="Q10" s="3">
        <v>760.94</v>
      </c>
      <c r="R10" s="37">
        <v>862.64</v>
      </c>
      <c r="S10" s="7">
        <v>945.57</v>
      </c>
      <c r="T10" s="7">
        <v>1041</v>
      </c>
      <c r="U10" s="7">
        <v>1086</v>
      </c>
    </row>
    <row r="11" spans="1:21" x14ac:dyDescent="0.3">
      <c r="A11" s="101"/>
      <c r="B11" s="13">
        <v>13</v>
      </c>
      <c r="C11" s="1" t="s">
        <v>13</v>
      </c>
      <c r="D11" s="3">
        <v>32.024999999999999</v>
      </c>
      <c r="E11" s="3">
        <v>29.137</v>
      </c>
      <c r="F11" s="3">
        <v>37.799999999999997</v>
      </c>
      <c r="G11" s="3">
        <v>28</v>
      </c>
      <c r="H11" s="3">
        <v>46.039000000000001</v>
      </c>
      <c r="I11" s="3">
        <v>56.718000000000004</v>
      </c>
      <c r="J11" s="3">
        <v>16.399000000000001</v>
      </c>
      <c r="K11" s="3">
        <v>45.347000000000001</v>
      </c>
      <c r="L11" s="3">
        <v>37.569000000000003</v>
      </c>
      <c r="M11" s="3">
        <v>48.058</v>
      </c>
      <c r="N11" s="3">
        <v>63.4</v>
      </c>
      <c r="O11" s="3">
        <v>82.95</v>
      </c>
      <c r="P11" s="3">
        <v>82.91</v>
      </c>
      <c r="Q11" s="3">
        <v>107.53</v>
      </c>
      <c r="R11" s="3">
        <v>139.30000000000001</v>
      </c>
      <c r="S11" s="62">
        <v>158.16</v>
      </c>
      <c r="T11" s="62">
        <v>171.83</v>
      </c>
      <c r="U11" s="62">
        <v>188.67</v>
      </c>
    </row>
    <row r="12" spans="1:21" x14ac:dyDescent="0.3">
      <c r="A12" s="101"/>
      <c r="B12" s="13">
        <v>14</v>
      </c>
      <c r="C12" s="6" t="s">
        <v>105</v>
      </c>
      <c r="D12" s="7">
        <v>74.793999999999997</v>
      </c>
      <c r="E12" s="7">
        <v>68.012</v>
      </c>
      <c r="F12" s="7">
        <v>80.2</v>
      </c>
      <c r="G12" s="7">
        <v>88.6</v>
      </c>
      <c r="H12" s="7">
        <v>126.26600000000001</v>
      </c>
      <c r="I12" s="7">
        <v>135.11600000000001</v>
      </c>
      <c r="J12" s="7">
        <v>126.00700000000001</v>
      </c>
      <c r="K12" s="7">
        <v>166.614</v>
      </c>
      <c r="L12" s="7">
        <v>56.328000000000003</v>
      </c>
      <c r="M12" s="7">
        <v>275.89499999999998</v>
      </c>
      <c r="N12" s="7">
        <v>313.39999999999998</v>
      </c>
      <c r="O12" s="7">
        <v>475.13</v>
      </c>
      <c r="P12" s="7">
        <v>555.67999999999995</v>
      </c>
      <c r="Q12" s="7">
        <v>489.65</v>
      </c>
      <c r="R12" s="3">
        <v>563.36</v>
      </c>
      <c r="S12" s="7">
        <v>623.16</v>
      </c>
      <c r="T12" s="7">
        <v>693.33</v>
      </c>
      <c r="U12" s="7">
        <v>792.63</v>
      </c>
    </row>
    <row r="13" spans="1:21" x14ac:dyDescent="0.3">
      <c r="A13" s="101"/>
      <c r="B13" s="13">
        <v>2</v>
      </c>
      <c r="C13" s="1" t="s">
        <v>15</v>
      </c>
      <c r="D13" s="22">
        <v>0</v>
      </c>
      <c r="E13" s="22">
        <v>0</v>
      </c>
      <c r="F13" s="22">
        <f>1.361/F5</f>
        <v>1.5602284367941062E-3</v>
      </c>
      <c r="G13" s="22">
        <f>7.365/G5</f>
        <v>8.4431171469423905E-3</v>
      </c>
      <c r="H13" s="22">
        <f>4.805/H5</f>
        <v>5.5083744590710354E-3</v>
      </c>
      <c r="I13" s="22">
        <f>51.61/I5</f>
        <v>5.9164871141031465E-2</v>
      </c>
      <c r="J13" s="22">
        <f>67.884/J5</f>
        <v>7.7821122118538658E-2</v>
      </c>
      <c r="K13" s="22">
        <f>78.076/K5</f>
        <v>8.9505066444626469E-2</v>
      </c>
      <c r="L13" s="22">
        <f>84.727/L5</f>
        <v>9.7129665513779745E-2</v>
      </c>
      <c r="M13" s="22">
        <f>92.353/M5</f>
        <v>0.10587198884882151</v>
      </c>
      <c r="N13" s="22">
        <v>7.0000000000000007E-2</v>
      </c>
      <c r="O13" s="22">
        <v>7.0000000000000007E-2</v>
      </c>
      <c r="P13" s="22">
        <v>0.08</v>
      </c>
      <c r="Q13" s="22">
        <v>0.1</v>
      </c>
      <c r="R13" s="22">
        <v>0.11</v>
      </c>
      <c r="S13" s="96">
        <v>0.12</v>
      </c>
      <c r="T13" s="96">
        <v>0.13</v>
      </c>
      <c r="U13" s="96">
        <v>0.14000000000000001</v>
      </c>
    </row>
    <row r="14" spans="1:21" x14ac:dyDescent="0.3">
      <c r="A14" s="102" t="s">
        <v>14</v>
      </c>
      <c r="B14" s="14">
        <v>8</v>
      </c>
      <c r="C14" s="6" t="s">
        <v>16</v>
      </c>
      <c r="D14" s="7">
        <v>16.61</v>
      </c>
      <c r="E14" s="7">
        <v>257.55200000000002</v>
      </c>
      <c r="F14" s="7">
        <v>501</v>
      </c>
      <c r="G14" s="7">
        <v>220</v>
      </c>
      <c r="H14" s="7">
        <v>245.83699999999999</v>
      </c>
      <c r="I14" s="7">
        <v>265.22899999999998</v>
      </c>
      <c r="J14" s="7">
        <v>368.62299999999999</v>
      </c>
      <c r="K14" s="7">
        <v>399</v>
      </c>
      <c r="L14" s="7">
        <v>482</v>
      </c>
      <c r="M14" s="7">
        <v>287</v>
      </c>
      <c r="N14" s="7">
        <v>469</v>
      </c>
      <c r="O14" s="7">
        <v>521</v>
      </c>
      <c r="P14" s="7">
        <v>440</v>
      </c>
      <c r="Q14" s="7">
        <v>784</v>
      </c>
      <c r="R14" s="1"/>
      <c r="S14" s="1"/>
      <c r="T14" s="1"/>
      <c r="U14" s="1"/>
    </row>
    <row r="15" spans="1:21" x14ac:dyDescent="0.3">
      <c r="A15" s="103"/>
      <c r="B15" s="14">
        <v>7</v>
      </c>
      <c r="C15" s="1" t="s">
        <v>17</v>
      </c>
      <c r="D15" s="3">
        <v>1462.2729999999999</v>
      </c>
      <c r="E15" s="3">
        <v>2673.4389999999999</v>
      </c>
      <c r="F15" s="3">
        <v>3534</v>
      </c>
      <c r="G15" s="3">
        <v>3826</v>
      </c>
      <c r="H15" s="37">
        <v>3874.32</v>
      </c>
      <c r="I15" s="3">
        <v>2691.9360000000001</v>
      </c>
      <c r="J15" s="3">
        <v>3901.9229999999998</v>
      </c>
      <c r="K15" s="3">
        <v>4426</v>
      </c>
      <c r="L15" s="3">
        <v>4014</v>
      </c>
      <c r="M15" s="3">
        <v>3853</v>
      </c>
      <c r="N15" s="3">
        <v>4185</v>
      </c>
      <c r="O15" s="3">
        <v>4245</v>
      </c>
      <c r="P15" s="3">
        <v>4804</v>
      </c>
      <c r="Q15" s="3">
        <v>4884</v>
      </c>
      <c r="R15" s="1"/>
      <c r="S15" s="1"/>
      <c r="T15" s="1"/>
      <c r="U15" s="1"/>
    </row>
    <row r="16" spans="1:21" x14ac:dyDescent="0.3">
      <c r="A16" s="103"/>
      <c r="B16" s="14">
        <v>9</v>
      </c>
      <c r="C16" s="6" t="s">
        <v>92</v>
      </c>
      <c r="D16" s="7">
        <v>91.513999999999996</v>
      </c>
      <c r="E16" s="7">
        <v>107.49299999999999</v>
      </c>
      <c r="F16" s="7">
        <v>126</v>
      </c>
      <c r="G16" s="7">
        <v>127</v>
      </c>
      <c r="H16" s="7">
        <v>325.16800000000001</v>
      </c>
      <c r="I16" s="7">
        <v>418.23</v>
      </c>
      <c r="J16" s="7">
        <v>549</v>
      </c>
      <c r="K16" s="7">
        <v>863</v>
      </c>
      <c r="L16" s="7">
        <v>1448.0519999999999</v>
      </c>
      <c r="M16" s="7">
        <v>1560</v>
      </c>
      <c r="N16" s="7">
        <v>1613</v>
      </c>
      <c r="O16" s="7">
        <v>1362</v>
      </c>
      <c r="P16" s="7">
        <v>1276</v>
      </c>
      <c r="Q16" s="7">
        <v>1344</v>
      </c>
      <c r="R16" s="1"/>
      <c r="S16" s="1"/>
      <c r="T16" s="1"/>
      <c r="U16" s="1"/>
    </row>
    <row r="17" spans="1:21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/>
      <c r="S17" s="1"/>
      <c r="T17" s="1"/>
      <c r="U17" s="1"/>
    </row>
    <row r="18" spans="1:21" x14ac:dyDescent="0.3">
      <c r="A18" s="103"/>
      <c r="B18" s="14">
        <v>15</v>
      </c>
      <c r="C18" s="6" t="s">
        <v>19</v>
      </c>
      <c r="D18" s="7">
        <v>4220.0349999999999</v>
      </c>
      <c r="E18" s="7">
        <v>5966.26</v>
      </c>
      <c r="F18" s="7">
        <v>7442</v>
      </c>
      <c r="G18" s="7">
        <v>7604</v>
      </c>
      <c r="H18" s="7">
        <v>7553.1459999999997</v>
      </c>
      <c r="I18" s="7">
        <v>7022.2219999999998</v>
      </c>
      <c r="J18" s="7">
        <v>7985.058</v>
      </c>
      <c r="K18" s="7">
        <v>9765</v>
      </c>
      <c r="L18" s="7">
        <v>10610</v>
      </c>
      <c r="M18" s="7">
        <v>9889</v>
      </c>
      <c r="N18" s="7">
        <v>11030</v>
      </c>
      <c r="O18" s="7">
        <v>10720</v>
      </c>
      <c r="P18" s="7">
        <v>10815</v>
      </c>
      <c r="Q18" s="7">
        <v>12535</v>
      </c>
      <c r="R18" s="1"/>
      <c r="S18" s="1"/>
      <c r="T18" s="1"/>
      <c r="U18" s="1"/>
    </row>
    <row r="19" spans="1:21" x14ac:dyDescent="0.3">
      <c r="A19" s="103"/>
      <c r="B19" s="14">
        <v>18</v>
      </c>
      <c r="C19" s="1" t="s">
        <v>21</v>
      </c>
      <c r="D19" s="3">
        <v>780.76</v>
      </c>
      <c r="E19" s="3">
        <v>1245.51</v>
      </c>
      <c r="F19" s="3">
        <v>1292.175</v>
      </c>
      <c r="G19" s="3">
        <v>1083.1790000000001</v>
      </c>
      <c r="H19" s="3">
        <v>1136.566</v>
      </c>
      <c r="I19" s="3">
        <v>860.14400000000001</v>
      </c>
      <c r="J19" s="3">
        <v>1202.058</v>
      </c>
      <c r="K19" s="3">
        <v>1497.606</v>
      </c>
      <c r="L19" s="3">
        <v>1276.4770000000001</v>
      </c>
      <c r="M19" s="3">
        <v>1590.3789999999999</v>
      </c>
      <c r="N19" s="3">
        <v>2250</v>
      </c>
      <c r="O19" s="3">
        <v>2458</v>
      </c>
      <c r="P19" s="3">
        <v>2126</v>
      </c>
      <c r="Q19" s="3">
        <v>2577</v>
      </c>
      <c r="R19" s="1"/>
      <c r="S19" s="1"/>
      <c r="T19" s="1"/>
      <c r="U19" s="1"/>
    </row>
    <row r="20" spans="1:21" x14ac:dyDescent="0.3">
      <c r="A20" s="103"/>
      <c r="B20" s="14">
        <v>17</v>
      </c>
      <c r="C20" s="6" t="s">
        <v>22</v>
      </c>
      <c r="D20" s="7">
        <v>732.32</v>
      </c>
      <c r="E20" s="7">
        <v>1105.356</v>
      </c>
      <c r="F20" s="7">
        <v>1260.5650000000001</v>
      </c>
      <c r="G20" s="7">
        <v>890.55200000000002</v>
      </c>
      <c r="H20" s="7">
        <v>937.15700000000004</v>
      </c>
      <c r="I20" s="7">
        <v>776.55100000000004</v>
      </c>
      <c r="J20" s="7">
        <v>971.53200000000004</v>
      </c>
      <c r="K20" s="7">
        <v>1021.888</v>
      </c>
      <c r="L20" s="7">
        <v>1104.8589999999999</v>
      </c>
      <c r="M20" s="7">
        <v>994</v>
      </c>
      <c r="N20" s="7">
        <v>1352</v>
      </c>
      <c r="O20" s="7">
        <v>1574</v>
      </c>
      <c r="P20" s="7">
        <v>1532</v>
      </c>
      <c r="Q20" s="7">
        <v>2972</v>
      </c>
      <c r="R20" s="1"/>
      <c r="S20" s="1"/>
      <c r="T20" s="1"/>
      <c r="U20" s="1"/>
    </row>
    <row r="21" spans="1:21" x14ac:dyDescent="0.3">
      <c r="A21" s="103"/>
      <c r="B21" s="14">
        <v>19</v>
      </c>
      <c r="C21" s="1" t="s">
        <v>88</v>
      </c>
      <c r="D21" s="3">
        <v>12.377000000000001</v>
      </c>
      <c r="E21" s="3">
        <v>11.343999999999999</v>
      </c>
      <c r="F21" s="3">
        <v>24</v>
      </c>
      <c r="G21" s="3">
        <v>24</v>
      </c>
      <c r="H21" s="3">
        <v>16.209</v>
      </c>
      <c r="I21" s="3">
        <v>15.489000000000001</v>
      </c>
      <c r="J21" s="3">
        <v>21.32</v>
      </c>
      <c r="K21" s="3">
        <v>26</v>
      </c>
      <c r="L21" s="3">
        <v>28</v>
      </c>
      <c r="M21" s="3">
        <v>33</v>
      </c>
      <c r="N21" s="3">
        <v>42</v>
      </c>
      <c r="O21" s="3">
        <v>40</v>
      </c>
      <c r="P21" s="3">
        <v>60</v>
      </c>
      <c r="Q21" s="3">
        <v>54</v>
      </c>
      <c r="R21" s="1"/>
      <c r="S21" s="1"/>
      <c r="T21" s="1"/>
      <c r="U21" s="1"/>
    </row>
    <row r="22" spans="1:21" x14ac:dyDescent="0.3">
      <c r="A22" s="103"/>
      <c r="B22" s="14">
        <v>20</v>
      </c>
      <c r="C22" s="6" t="s">
        <v>87</v>
      </c>
      <c r="D22" s="7">
        <v>82.597999999999999</v>
      </c>
      <c r="E22" s="7">
        <v>106.148</v>
      </c>
      <c r="F22" s="7">
        <v>144</v>
      </c>
      <c r="G22" s="7">
        <v>146</v>
      </c>
      <c r="H22" s="7">
        <v>180.25899999999999</v>
      </c>
      <c r="I22" s="7">
        <v>207.18899999999999</v>
      </c>
      <c r="J22" s="7">
        <v>141.14500000000001</v>
      </c>
      <c r="K22" s="7">
        <v>217.13499999999999</v>
      </c>
      <c r="L22" s="7">
        <v>232</v>
      </c>
      <c r="M22" s="7">
        <v>277</v>
      </c>
      <c r="N22" s="7">
        <v>260</v>
      </c>
      <c r="O22" s="7">
        <v>227</v>
      </c>
      <c r="P22" s="7">
        <v>199</v>
      </c>
      <c r="Q22" s="7">
        <v>332</v>
      </c>
      <c r="R22" s="1"/>
      <c r="S22" s="1"/>
      <c r="T22" s="1"/>
      <c r="U22" s="1"/>
    </row>
    <row r="23" spans="1:21" x14ac:dyDescent="0.3">
      <c r="A23" s="103"/>
      <c r="B23" s="14">
        <v>16</v>
      </c>
      <c r="C23" s="1" t="s">
        <v>20</v>
      </c>
      <c r="D23" s="3">
        <v>5198.8729999999996</v>
      </c>
      <c r="E23" s="3">
        <v>5327.5550000000003</v>
      </c>
      <c r="F23" s="3">
        <v>5394</v>
      </c>
      <c r="G23" s="3">
        <v>5454</v>
      </c>
      <c r="H23" s="3">
        <v>5748.8270000000002</v>
      </c>
      <c r="I23" s="3">
        <v>6089.4960000000001</v>
      </c>
      <c r="J23" s="3">
        <v>6330.759</v>
      </c>
      <c r="K23" s="3">
        <v>5971</v>
      </c>
      <c r="L23" s="3">
        <v>6125</v>
      </c>
      <c r="M23" s="3">
        <v>6335</v>
      </c>
      <c r="N23" s="3">
        <v>6509</v>
      </c>
      <c r="O23" s="3">
        <v>6973</v>
      </c>
      <c r="P23" s="3">
        <v>7348</v>
      </c>
      <c r="Q23" s="3">
        <v>8407</v>
      </c>
      <c r="R23" s="1"/>
      <c r="S23" s="1"/>
      <c r="T23" s="1"/>
      <c r="U23" s="1"/>
    </row>
    <row r="25" spans="1:21" x14ac:dyDescent="0.3">
      <c r="A25" s="9" t="s">
        <v>71</v>
      </c>
      <c r="B25" s="8"/>
      <c r="C25" s="9" t="s">
        <v>26</v>
      </c>
      <c r="D25" s="8">
        <v>8</v>
      </c>
      <c r="E25" s="8">
        <v>9</v>
      </c>
      <c r="F25" s="8">
        <v>10</v>
      </c>
      <c r="G25" s="8">
        <v>11</v>
      </c>
      <c r="H25" s="8">
        <v>12</v>
      </c>
      <c r="I25" s="8">
        <v>13</v>
      </c>
      <c r="J25" s="8">
        <v>14</v>
      </c>
      <c r="K25" s="8">
        <v>15</v>
      </c>
      <c r="L25" s="8">
        <v>16</v>
      </c>
      <c r="M25" s="8">
        <v>17</v>
      </c>
      <c r="N25" s="8">
        <v>18</v>
      </c>
      <c r="O25" s="8">
        <v>19</v>
      </c>
      <c r="P25" s="8">
        <v>20</v>
      </c>
      <c r="Q25" s="8" t="s">
        <v>3</v>
      </c>
      <c r="R25" s="8" t="s">
        <v>94</v>
      </c>
      <c r="S25" s="80" t="s">
        <v>116</v>
      </c>
      <c r="T25" s="80" t="s">
        <v>117</v>
      </c>
      <c r="U25" s="80" t="s">
        <v>118</v>
      </c>
    </row>
    <row r="26" spans="1:21" x14ac:dyDescent="0.3">
      <c r="A26" s="6" t="s">
        <v>65</v>
      </c>
      <c r="B26" s="17" t="s">
        <v>27</v>
      </c>
      <c r="C26" s="6" t="s">
        <v>85</v>
      </c>
      <c r="D26" s="38">
        <f t="shared" ref="D26:K26" si="0">D4*D5</f>
        <v>4361.5408100000004</v>
      </c>
      <c r="E26" s="38">
        <f t="shared" si="0"/>
        <v>5783.40311406</v>
      </c>
      <c r="F26" s="38">
        <f t="shared" si="0"/>
        <v>3785.81742308</v>
      </c>
      <c r="G26" s="38">
        <f t="shared" si="0"/>
        <v>4126.0176062600003</v>
      </c>
      <c r="H26" s="38">
        <f t="shared" si="0"/>
        <v>3480.5095663800003</v>
      </c>
      <c r="I26" s="38">
        <f t="shared" si="0"/>
        <v>3367.1095053200002</v>
      </c>
      <c r="J26" s="38">
        <f t="shared" si="0"/>
        <v>4710.4640748000002</v>
      </c>
      <c r="K26" s="38">
        <f t="shared" si="0"/>
        <v>6324.2341745000003</v>
      </c>
      <c r="L26" s="38">
        <f t="shared" ref="L26:U26" si="1">L4*L5</f>
        <v>5268.7412984800003</v>
      </c>
      <c r="M26" s="38">
        <f t="shared" si="1"/>
        <v>6079.9878891400003</v>
      </c>
      <c r="N26" s="38">
        <f t="shared" si="1"/>
        <v>6782.1959595500002</v>
      </c>
      <c r="O26" s="38">
        <f t="shared" si="1"/>
        <v>9159.2357009999996</v>
      </c>
      <c r="P26" s="38">
        <f t="shared" si="1"/>
        <v>19103.5487478</v>
      </c>
      <c r="Q26" s="38">
        <f t="shared" si="1"/>
        <v>16342.983000000002</v>
      </c>
      <c r="R26" s="38">
        <f t="shared" si="1"/>
        <v>16428.996000000003</v>
      </c>
      <c r="S26" s="38">
        <f t="shared" si="1"/>
        <v>16428.996000000003</v>
      </c>
      <c r="T26" s="38">
        <f t="shared" si="1"/>
        <v>16428.996000000003</v>
      </c>
      <c r="U26" s="38">
        <f t="shared" si="1"/>
        <v>16428.996000000003</v>
      </c>
    </row>
    <row r="27" spans="1:21" x14ac:dyDescent="0.3">
      <c r="A27" s="1" t="s">
        <v>66</v>
      </c>
      <c r="B27" s="2" t="s">
        <v>28</v>
      </c>
      <c r="C27" s="1" t="s">
        <v>47</v>
      </c>
      <c r="D27" s="30">
        <f t="shared" ref="D27:K27" si="2">D26/D6</f>
        <v>34.360156378017273</v>
      </c>
      <c r="E27" s="30">
        <f t="shared" si="2"/>
        <v>29.402599501060006</v>
      </c>
      <c r="F27" s="30">
        <f>F26/G6</f>
        <v>3.542119594947605</v>
      </c>
      <c r="G27" s="30">
        <f>G26/H6</f>
        <v>3.2105438652573328</v>
      </c>
      <c r="H27" s="30">
        <f t="shared" si="2"/>
        <v>2.708260047014114</v>
      </c>
      <c r="I27" s="30">
        <f t="shared" si="2"/>
        <v>2.4830019123876159</v>
      </c>
      <c r="J27" s="30">
        <f t="shared" si="2"/>
        <v>3.6895390917891953</v>
      </c>
      <c r="K27" s="30">
        <f t="shared" si="2"/>
        <v>4.0879392639654775</v>
      </c>
      <c r="L27" s="30">
        <f t="shared" ref="L27:U27" si="3">L26/L6</f>
        <v>3.1917102921688096</v>
      </c>
      <c r="M27" s="30">
        <f t="shared" si="3"/>
        <v>3.3275126679097435</v>
      </c>
      <c r="N27" s="30">
        <f t="shared" si="3"/>
        <v>3.9965798229522687</v>
      </c>
      <c r="O27" s="30">
        <f t="shared" si="3"/>
        <v>5.0215108009868423</v>
      </c>
      <c r="P27" s="30">
        <f t="shared" si="3"/>
        <v>11.036134458578855</v>
      </c>
      <c r="Q27" s="30">
        <f t="shared" si="3"/>
        <v>8.9994399779735694</v>
      </c>
      <c r="R27" s="30">
        <f t="shared" si="3"/>
        <v>7.9907568093385226</v>
      </c>
      <c r="S27" s="30">
        <f t="shared" si="3"/>
        <v>7.1213680104031223</v>
      </c>
      <c r="T27" s="30">
        <f t="shared" si="3"/>
        <v>6.452865671641792</v>
      </c>
      <c r="U27" s="30">
        <f t="shared" si="3"/>
        <v>5.6966005547850216</v>
      </c>
    </row>
    <row r="28" spans="1:21" x14ac:dyDescent="0.3">
      <c r="A28" s="6" t="s">
        <v>67</v>
      </c>
      <c r="B28" s="17" t="s">
        <v>29</v>
      </c>
      <c r="C28" s="6" t="s">
        <v>48</v>
      </c>
      <c r="D28" s="29">
        <f t="shared" ref="D28:K28" si="4">D26/D7</f>
        <v>36.441224276654943</v>
      </c>
      <c r="E28" s="29">
        <f t="shared" si="4"/>
        <v>10.650834464198896</v>
      </c>
      <c r="F28" s="29">
        <f t="shared" si="4"/>
        <v>5.3119368922127119</v>
      </c>
      <c r="G28" s="29">
        <f t="shared" si="4"/>
        <v>5.1530131213438244</v>
      </c>
      <c r="H28" s="29">
        <f t="shared" si="4"/>
        <v>3.7105645697014928</v>
      </c>
      <c r="I28" s="29">
        <f t="shared" si="4"/>
        <v>3.5555538598944034</v>
      </c>
      <c r="J28" s="29">
        <f t="shared" si="4"/>
        <v>5.2164607694352165</v>
      </c>
      <c r="K28" s="29">
        <f t="shared" si="4"/>
        <v>5.5378582964098078</v>
      </c>
      <c r="L28" s="29">
        <f t="shared" ref="L28:U28" si="5">L26/L7</f>
        <v>4.499540372295681</v>
      </c>
      <c r="M28" s="29">
        <f t="shared" si="5"/>
        <v>4.4499068951298311</v>
      </c>
      <c r="N28" s="29">
        <f t="shared" si="5"/>
        <v>5.2170738150384617</v>
      </c>
      <c r="O28" s="29">
        <f t="shared" si="5"/>
        <v>5.55441825409339</v>
      </c>
      <c r="P28" s="29">
        <f t="shared" si="5"/>
        <v>11.542929756978852</v>
      </c>
      <c r="Q28" s="29">
        <f t="shared" si="5"/>
        <v>10.176203611457037</v>
      </c>
      <c r="R28" s="29">
        <f t="shared" si="5"/>
        <v>9.2039193277310947</v>
      </c>
      <c r="S28" s="29">
        <f t="shared" si="5"/>
        <v>8.3864196018376731</v>
      </c>
      <c r="T28" s="29">
        <f t="shared" si="5"/>
        <v>7.7495264150943406</v>
      </c>
      <c r="U28" s="29">
        <f t="shared" si="5"/>
        <v>6.961438983050849</v>
      </c>
    </row>
    <row r="29" spans="1:21" x14ac:dyDescent="0.3">
      <c r="A29" s="15" t="s">
        <v>68</v>
      </c>
      <c r="B29" s="2" t="s">
        <v>30</v>
      </c>
      <c r="C29" s="1" t="s">
        <v>49</v>
      </c>
      <c r="D29" s="3">
        <f t="shared" ref="D29:Q29" si="6">D15-D14</f>
        <v>1445.663</v>
      </c>
      <c r="E29" s="3">
        <f t="shared" si="6"/>
        <v>2415.8869999999997</v>
      </c>
      <c r="F29" s="3">
        <f t="shared" si="6"/>
        <v>3033</v>
      </c>
      <c r="G29" s="3">
        <f t="shared" ref="G29" si="7">G15-G14</f>
        <v>3606</v>
      </c>
      <c r="H29" s="3">
        <f>G15-H14</f>
        <v>3580.163</v>
      </c>
      <c r="I29" s="3">
        <f t="shared" si="6"/>
        <v>2426.7070000000003</v>
      </c>
      <c r="J29" s="3">
        <f t="shared" si="6"/>
        <v>3533.2999999999997</v>
      </c>
      <c r="K29" s="3">
        <f t="shared" si="6"/>
        <v>4027</v>
      </c>
      <c r="L29" s="3">
        <f t="shared" si="6"/>
        <v>3532</v>
      </c>
      <c r="M29" s="3">
        <f t="shared" si="6"/>
        <v>3566</v>
      </c>
      <c r="N29" s="3">
        <f t="shared" si="6"/>
        <v>3716</v>
      </c>
      <c r="O29" s="3">
        <f t="shared" si="6"/>
        <v>3724</v>
      </c>
      <c r="P29" s="3">
        <f t="shared" si="6"/>
        <v>4364</v>
      </c>
      <c r="Q29" s="3">
        <f t="shared" si="6"/>
        <v>4100</v>
      </c>
      <c r="R29" s="3">
        <f t="shared" ref="R29" si="8">R15-R14</f>
        <v>0</v>
      </c>
    </row>
    <row r="30" spans="1:21" x14ac:dyDescent="0.3">
      <c r="A30" s="6" t="s">
        <v>69</v>
      </c>
      <c r="B30" s="17" t="s">
        <v>31</v>
      </c>
      <c r="C30" s="6" t="s">
        <v>50</v>
      </c>
      <c r="D30" s="7">
        <f t="shared" ref="D30:Q30" si="9">D26+D29+D16+D17</f>
        <v>5898.717810000001</v>
      </c>
      <c r="E30" s="7">
        <f t="shared" si="9"/>
        <v>8306.783114060001</v>
      </c>
      <c r="F30" s="7">
        <f t="shared" si="9"/>
        <v>6944.8174230799996</v>
      </c>
      <c r="G30" s="7">
        <f t="shared" ref="G30" si="10">G26+G29+G16+G17</f>
        <v>7859.0176062600003</v>
      </c>
      <c r="H30" s="7">
        <f t="shared" si="9"/>
        <v>7385.8405663800004</v>
      </c>
      <c r="I30" s="7">
        <f t="shared" si="9"/>
        <v>6212.0465053200005</v>
      </c>
      <c r="J30" s="7">
        <f t="shared" si="9"/>
        <v>8792.7640747999994</v>
      </c>
      <c r="K30" s="7">
        <f t="shared" si="9"/>
        <v>11214.234174500001</v>
      </c>
      <c r="L30" s="7">
        <f t="shared" si="9"/>
        <v>10248.793298479999</v>
      </c>
      <c r="M30" s="7">
        <f t="shared" si="9"/>
        <v>11205.98788914</v>
      </c>
      <c r="N30" s="7">
        <f t="shared" si="9"/>
        <v>12111.195959550001</v>
      </c>
      <c r="O30" s="7">
        <f t="shared" si="9"/>
        <v>14245.235701</v>
      </c>
      <c r="P30" s="7">
        <f t="shared" si="9"/>
        <v>24743.5487478</v>
      </c>
      <c r="Q30" s="7">
        <f t="shared" si="9"/>
        <v>21786.983</v>
      </c>
      <c r="R30" s="7"/>
    </row>
    <row r="31" spans="1:21" x14ac:dyDescent="0.3">
      <c r="A31" s="1" t="s">
        <v>70</v>
      </c>
      <c r="B31" s="2" t="s">
        <v>32</v>
      </c>
      <c r="C31" s="1" t="s">
        <v>51</v>
      </c>
      <c r="D31" s="30">
        <f t="shared" ref="D31:Q31" si="11">D30/D7</f>
        <v>49.284532238254791</v>
      </c>
      <c r="E31" s="30">
        <f t="shared" si="11"/>
        <v>15.297943119815839</v>
      </c>
      <c r="F31" s="30">
        <f t="shared" si="11"/>
        <v>9.7443769090500894</v>
      </c>
      <c r="G31" s="30">
        <f t="shared" ref="G31" si="12">G30/G7</f>
        <v>9.8151837220681895</v>
      </c>
      <c r="H31" s="30">
        <f t="shared" si="11"/>
        <v>7.8740304545629005</v>
      </c>
      <c r="I31" s="30">
        <f t="shared" si="11"/>
        <v>6.5597111988595573</v>
      </c>
      <c r="J31" s="30">
        <f t="shared" si="11"/>
        <v>9.737280260022148</v>
      </c>
      <c r="K31" s="30">
        <f t="shared" si="11"/>
        <v>9.8198197675131365</v>
      </c>
      <c r="L31" s="30">
        <f t="shared" si="11"/>
        <v>8.7525381493162389</v>
      </c>
      <c r="M31" s="30">
        <f t="shared" si="11"/>
        <v>8.2015957406255353</v>
      </c>
      <c r="N31" s="30">
        <f t="shared" si="11"/>
        <v>9.3163045842692309</v>
      </c>
      <c r="O31" s="30">
        <f t="shared" si="11"/>
        <v>8.6387117653123102</v>
      </c>
      <c r="P31" s="30">
        <f t="shared" si="11"/>
        <v>14.950784741873111</v>
      </c>
      <c r="Q31" s="30">
        <f t="shared" si="11"/>
        <v>13.565991905354919</v>
      </c>
      <c r="R31" s="30">
        <f t="shared" ref="R31" si="13">R30/R7</f>
        <v>0</v>
      </c>
    </row>
    <row r="32" spans="1:21" x14ac:dyDescent="0.3">
      <c r="A32" s="18" t="s">
        <v>72</v>
      </c>
      <c r="B32" s="17" t="s">
        <v>33</v>
      </c>
      <c r="C32" s="6" t="s">
        <v>109</v>
      </c>
      <c r="D32" s="27">
        <f t="shared" ref="D32:M32" si="14">D7/D6</f>
        <v>0.94289248125039382</v>
      </c>
      <c r="E32" s="27">
        <f t="shared" si="14"/>
        <v>2.7605911630579012</v>
      </c>
      <c r="F32" s="27">
        <f>F7/G6</f>
        <v>0.66682260479041922</v>
      </c>
      <c r="G32" s="27">
        <f>G7/H6</f>
        <v>0.62304205125332068</v>
      </c>
      <c r="H32" s="27">
        <f t="shared" si="14"/>
        <v>0.72987816170302833</v>
      </c>
      <c r="I32" s="27">
        <f t="shared" si="14"/>
        <v>0.69834462090284821</v>
      </c>
      <c r="J32" s="27">
        <f t="shared" si="14"/>
        <v>0.70728780582560768</v>
      </c>
      <c r="K32" s="27">
        <f t="shared" si="14"/>
        <v>0.73818054655094512</v>
      </c>
      <c r="L32" s="27">
        <f t="shared" si="14"/>
        <v>0.70934140558458603</v>
      </c>
      <c r="M32" s="27">
        <f t="shared" si="14"/>
        <v>0.74777130091227662</v>
      </c>
      <c r="N32" s="27">
        <f t="shared" ref="N32:U32" si="15">N7/N6</f>
        <v>0.76605774896876844</v>
      </c>
      <c r="O32" s="27">
        <f t="shared" si="15"/>
        <v>0.9040570175438597</v>
      </c>
      <c r="P32" s="27">
        <f t="shared" si="15"/>
        <v>0.95609474292316576</v>
      </c>
      <c r="Q32" s="27">
        <f t="shared" si="15"/>
        <v>0.88436123348017626</v>
      </c>
      <c r="R32" s="27">
        <f t="shared" si="15"/>
        <v>0.86819066147859925</v>
      </c>
      <c r="S32" s="27">
        <f t="shared" si="15"/>
        <v>0.84915474642392719</v>
      </c>
      <c r="T32" s="27">
        <f t="shared" si="15"/>
        <v>0.8326787117046347</v>
      </c>
      <c r="U32" s="27">
        <f t="shared" si="15"/>
        <v>0.81830790568654643</v>
      </c>
    </row>
    <row r="33" spans="1:21" x14ac:dyDescent="0.3">
      <c r="A33" s="16" t="s">
        <v>73</v>
      </c>
      <c r="B33" s="2" t="s">
        <v>34</v>
      </c>
      <c r="C33" s="1" t="s">
        <v>110</v>
      </c>
      <c r="D33" s="28">
        <f t="shared" ref="D33:M33" si="16">D8/D6</f>
        <v>0.94289248125039382</v>
      </c>
      <c r="E33" s="28">
        <f t="shared" si="16"/>
        <v>0.88940858274401735</v>
      </c>
      <c r="F33" s="28">
        <f>F8/G6</f>
        <v>0.27123877245508982</v>
      </c>
      <c r="G33" s="28">
        <f>G8/H6</f>
        <v>0.27039729338145241</v>
      </c>
      <c r="H33" s="28">
        <f t="shared" si="16"/>
        <v>0.35023724930863886</v>
      </c>
      <c r="I33" s="28">
        <f t="shared" si="16"/>
        <v>0.34891494796705758</v>
      </c>
      <c r="J33" s="28">
        <f t="shared" si="16"/>
        <v>0.33085795655702005</v>
      </c>
      <c r="K33" s="28">
        <f t="shared" si="16"/>
        <v>0.37351030705595883</v>
      </c>
      <c r="L33" s="28">
        <f t="shared" si="16"/>
        <v>0.34163638764737164</v>
      </c>
      <c r="M33" s="28">
        <f t="shared" si="16"/>
        <v>0.43954833303870922</v>
      </c>
      <c r="N33" s="28">
        <f t="shared" ref="N33:U33" si="17">N8/N6</f>
        <v>0.44413671184443138</v>
      </c>
      <c r="O33" s="28">
        <f t="shared" si="17"/>
        <v>0.57839912280701755</v>
      </c>
      <c r="P33" s="28">
        <f t="shared" si="17"/>
        <v>0.60889659156556908</v>
      </c>
      <c r="Q33" s="28">
        <f t="shared" si="17"/>
        <v>0.55561674008810569</v>
      </c>
      <c r="R33" s="28">
        <f t="shared" si="17"/>
        <v>0.53891050583657585</v>
      </c>
      <c r="S33" s="28">
        <f t="shared" si="17"/>
        <v>0.52839185088859997</v>
      </c>
      <c r="T33" s="28">
        <f t="shared" si="17"/>
        <v>0.52513747054202675</v>
      </c>
      <c r="U33" s="28">
        <f t="shared" si="17"/>
        <v>0.50173370319001387</v>
      </c>
    </row>
    <row r="34" spans="1:21" x14ac:dyDescent="0.3">
      <c r="A34" s="18" t="s">
        <v>74</v>
      </c>
      <c r="B34" s="17" t="s">
        <v>35</v>
      </c>
      <c r="C34" s="6" t="s">
        <v>54</v>
      </c>
      <c r="D34" s="27">
        <f t="shared" ref="D34:M34" si="18">D11/D10</f>
        <v>0.29980621425027382</v>
      </c>
      <c r="E34" s="27">
        <f t="shared" si="18"/>
        <v>0.2999207403061277</v>
      </c>
      <c r="F34" s="27">
        <f t="shared" si="18"/>
        <v>0.3129139072847682</v>
      </c>
      <c r="G34" s="27">
        <f t="shared" ref="G34" si="19">G11/G10</f>
        <v>0.23588879528222409</v>
      </c>
      <c r="H34" s="27">
        <f t="shared" si="18"/>
        <v>0.25283789795100198</v>
      </c>
      <c r="I34" s="27">
        <f t="shared" si="18"/>
        <v>0.25114017764631913</v>
      </c>
      <c r="J34" s="27">
        <f t="shared" si="18"/>
        <v>8.4406493519862472E-2</v>
      </c>
      <c r="K34" s="27">
        <f t="shared" si="18"/>
        <v>0.15591841506268095</v>
      </c>
      <c r="L34" s="27">
        <f t="shared" si="18"/>
        <v>0.1758181588442585</v>
      </c>
      <c r="M34" s="27">
        <f t="shared" si="18"/>
        <v>9.5303064856771744E-2</v>
      </c>
      <c r="N34" s="27">
        <f t="shared" ref="N34:U34" si="20">N11/N10</f>
        <v>0.11837191934279312</v>
      </c>
      <c r="O34" s="27">
        <f t="shared" si="20"/>
        <v>0.11697761983331219</v>
      </c>
      <c r="P34" s="27">
        <f t="shared" si="20"/>
        <v>0.10782515963741823</v>
      </c>
      <c r="Q34" s="27">
        <f t="shared" si="20"/>
        <v>0.14131206139774488</v>
      </c>
      <c r="R34" s="27">
        <f t="shared" si="20"/>
        <v>0.1614810349624409</v>
      </c>
      <c r="S34" s="27">
        <f t="shared" si="20"/>
        <v>0.167264189853739</v>
      </c>
      <c r="T34" s="27">
        <f t="shared" si="20"/>
        <v>0.16506243996157541</v>
      </c>
      <c r="U34" s="27">
        <f t="shared" si="20"/>
        <v>0.1737292817679558</v>
      </c>
    </row>
    <row r="35" spans="1:21" x14ac:dyDescent="0.3">
      <c r="A35" s="16" t="s">
        <v>75</v>
      </c>
      <c r="B35" s="2" t="s">
        <v>36</v>
      </c>
      <c r="C35" s="1" t="s">
        <v>108</v>
      </c>
      <c r="D35" s="28">
        <f t="shared" ref="D35:M35" si="21">D12/D6</f>
        <v>0.58922606667927135</v>
      </c>
      <c r="E35" s="28">
        <f t="shared" si="21"/>
        <v>0.34577039812503496</v>
      </c>
      <c r="F35" s="28">
        <f>F12/G6</f>
        <v>7.5037425149700604E-2</v>
      </c>
      <c r="G35" s="28">
        <f>G12/H6</f>
        <v>6.8941583290925701E-2</v>
      </c>
      <c r="H35" s="28">
        <f t="shared" si="21"/>
        <v>9.8250315528352422E-2</v>
      </c>
      <c r="I35" s="28">
        <f t="shared" si="21"/>
        <v>9.9638365150907335E-2</v>
      </c>
      <c r="J35" s="28">
        <f t="shared" si="21"/>
        <v>9.8696804594315998E-2</v>
      </c>
      <c r="K35" s="28">
        <f t="shared" si="21"/>
        <v>0.10769808544924621</v>
      </c>
      <c r="L35" s="28">
        <f t="shared" si="21"/>
        <v>3.412250614566157E-2</v>
      </c>
      <c r="M35" s="28">
        <f t="shared" si="21"/>
        <v>0.15099439739884313</v>
      </c>
      <c r="N35" s="28">
        <f t="shared" ref="N35:U35" si="22">N12/N6</f>
        <v>0.18467884502062462</v>
      </c>
      <c r="O35" s="28">
        <f t="shared" si="22"/>
        <v>0.26048793859649122</v>
      </c>
      <c r="P35" s="28">
        <f t="shared" si="22"/>
        <v>0.32101675332177931</v>
      </c>
      <c r="Q35" s="28">
        <f t="shared" si="22"/>
        <v>0.26963105726872244</v>
      </c>
      <c r="R35" s="28">
        <f t="shared" si="22"/>
        <v>0.27400778210116733</v>
      </c>
      <c r="S35" s="28">
        <f t="shared" si="22"/>
        <v>0.27011703511053314</v>
      </c>
      <c r="T35" s="28">
        <f t="shared" si="22"/>
        <v>0.27232128829536528</v>
      </c>
      <c r="U35" s="28">
        <f t="shared" si="22"/>
        <v>0.2748370319001387</v>
      </c>
    </row>
    <row r="36" spans="1:21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58.314046714977145</v>
      </c>
      <c r="E36" s="29">
        <f t="shared" ref="E36:M36" si="23">IF(E26/E12&lt;0,0,E26/E12)</f>
        <v>85.035039611539133</v>
      </c>
      <c r="F36" s="29">
        <f t="shared" si="23"/>
        <v>47.204706023441396</v>
      </c>
      <c r="G36" s="29">
        <f t="shared" si="23"/>
        <v>46.569047474717841</v>
      </c>
      <c r="H36" s="29">
        <f t="shared" si="23"/>
        <v>27.564899231622132</v>
      </c>
      <c r="I36" s="29">
        <f t="shared" si="23"/>
        <v>24.920139031054795</v>
      </c>
      <c r="J36" s="29">
        <f t="shared" si="23"/>
        <v>37.382558705468746</v>
      </c>
      <c r="K36" s="29">
        <f t="shared" si="23"/>
        <v>37.957399585268945</v>
      </c>
      <c r="L36" s="29">
        <f t="shared" si="23"/>
        <v>93.536807599772757</v>
      </c>
      <c r="M36" s="29">
        <f t="shared" si="23"/>
        <v>22.037325392413784</v>
      </c>
      <c r="N36" s="29">
        <f t="shared" ref="N36:U36" si="24">IF(N26/N12&lt;0,0,N26/N12)</f>
        <v>21.640701849234208</v>
      </c>
      <c r="O36" s="29">
        <f t="shared" si="24"/>
        <v>19.277325576158102</v>
      </c>
      <c r="P36" s="29">
        <f t="shared" si="24"/>
        <v>34.378686920169883</v>
      </c>
      <c r="Q36" s="29">
        <f t="shared" si="24"/>
        <v>33.376867150005111</v>
      </c>
      <c r="R36" s="29">
        <f t="shared" si="24"/>
        <v>29.162517750639026</v>
      </c>
      <c r="S36" s="29">
        <f t="shared" si="24"/>
        <v>26.364009243212021</v>
      </c>
      <c r="T36" s="29">
        <f t="shared" si="24"/>
        <v>23.695781229717454</v>
      </c>
      <c r="U36" s="29">
        <f t="shared" si="24"/>
        <v>20.727194277279441</v>
      </c>
    </row>
    <row r="37" spans="1:21" x14ac:dyDescent="0.3">
      <c r="A37" s="16" t="s">
        <v>77</v>
      </c>
      <c r="B37" s="2" t="s">
        <v>38</v>
      </c>
      <c r="C37" s="1" t="s">
        <v>57</v>
      </c>
      <c r="D37" s="30">
        <f t="shared" ref="D37:P37" si="25">D26/D23</f>
        <v>0.83893967211739939</v>
      </c>
      <c r="E37" s="30">
        <f t="shared" si="25"/>
        <v>1.0855642248761392</v>
      </c>
      <c r="F37" s="30">
        <f t="shared" si="25"/>
        <v>0.70185714183908043</v>
      </c>
      <c r="G37" s="30">
        <f t="shared" si="25"/>
        <v>0.75651221236890365</v>
      </c>
      <c r="H37" s="30">
        <f t="shared" si="25"/>
        <v>0.60542951916625776</v>
      </c>
      <c r="I37" s="30">
        <f t="shared" si="25"/>
        <v>0.55293730471618674</v>
      </c>
      <c r="J37" s="30">
        <f t="shared" si="25"/>
        <v>0.744059926274243</v>
      </c>
      <c r="K37" s="30">
        <f t="shared" si="25"/>
        <v>1.0591582941718305</v>
      </c>
      <c r="L37" s="30">
        <f t="shared" si="25"/>
        <v>0.86020266097632658</v>
      </c>
      <c r="M37" s="30">
        <f t="shared" si="25"/>
        <v>0.95974552314759276</v>
      </c>
      <c r="N37" s="30">
        <f t="shared" si="25"/>
        <v>1.0419720325011523</v>
      </c>
      <c r="O37" s="30">
        <f t="shared" si="25"/>
        <v>1.3135287108848415</v>
      </c>
      <c r="P37" s="30">
        <f t="shared" si="25"/>
        <v>2.5998297152694612</v>
      </c>
      <c r="Q37" s="30">
        <f t="shared" ref="Q37" si="26">Q26/Q23</f>
        <v>1.9439732365885574</v>
      </c>
      <c r="R37" s="30"/>
    </row>
    <row r="38" spans="1:21" x14ac:dyDescent="0.3">
      <c r="A38" s="18" t="s">
        <v>78</v>
      </c>
      <c r="B38" s="17" t="s">
        <v>39</v>
      </c>
      <c r="C38" s="6" t="s">
        <v>106</v>
      </c>
      <c r="D38" s="55">
        <f t="shared" ref="D38:P38" si="27">D8/D23</f>
        <v>2.3021720284377021E-2</v>
      </c>
      <c r="E38" s="55">
        <f t="shared" si="27"/>
        <v>3.2837577462832383E-2</v>
      </c>
      <c r="F38" s="55">
        <f t="shared" si="27"/>
        <v>5.3744901742677043E-2</v>
      </c>
      <c r="G38" s="55">
        <f t="shared" si="27"/>
        <v>6.3714704803813721E-2</v>
      </c>
      <c r="H38" s="55">
        <f t="shared" si="27"/>
        <v>7.8295276584249271E-2</v>
      </c>
      <c r="I38" s="55">
        <f t="shared" si="27"/>
        <v>7.7699533754517616E-2</v>
      </c>
      <c r="J38" s="55">
        <f t="shared" si="27"/>
        <v>6.672327915183629E-2</v>
      </c>
      <c r="K38" s="55">
        <f t="shared" si="27"/>
        <v>9.6774074694356046E-2</v>
      </c>
      <c r="L38" s="55">
        <f t="shared" si="27"/>
        <v>9.2074938775510193E-2</v>
      </c>
      <c r="M38" s="55">
        <f t="shared" si="27"/>
        <v>0.12677774269928965</v>
      </c>
      <c r="N38" s="55">
        <f t="shared" si="27"/>
        <v>0.11579351666922723</v>
      </c>
      <c r="O38" s="55">
        <f t="shared" si="27"/>
        <v>0.15129786318657679</v>
      </c>
      <c r="P38" s="55">
        <f t="shared" si="27"/>
        <v>0.14344039194338595</v>
      </c>
      <c r="Q38" s="55">
        <f t="shared" ref="Q38" si="28">Q8/Q23</f>
        <v>0.12001903175924825</v>
      </c>
      <c r="R38" s="55"/>
    </row>
    <row r="39" spans="1:21" x14ac:dyDescent="0.3">
      <c r="A39" s="16" t="s">
        <v>79</v>
      </c>
      <c r="B39" s="2" t="s">
        <v>40</v>
      </c>
      <c r="C39" s="1" t="s">
        <v>107</v>
      </c>
      <c r="D39" s="56">
        <f t="shared" ref="D39:P39" si="29">D12/D23</f>
        <v>1.4386579552914641E-2</v>
      </c>
      <c r="E39" s="56">
        <f t="shared" si="29"/>
        <v>1.2766081251155548E-2</v>
      </c>
      <c r="F39" s="56">
        <f t="shared" si="29"/>
        <v>1.4868372265480163E-2</v>
      </c>
      <c r="G39" s="56">
        <f t="shared" si="29"/>
        <v>1.6244957829116245E-2</v>
      </c>
      <c r="H39" s="56">
        <f t="shared" si="29"/>
        <v>2.1963784959957919E-2</v>
      </c>
      <c r="I39" s="56">
        <f t="shared" si="29"/>
        <v>2.2188371582804227E-2</v>
      </c>
      <c r="J39" s="56">
        <f t="shared" si="29"/>
        <v>1.9903932530048924E-2</v>
      </c>
      <c r="K39" s="56">
        <f t="shared" si="29"/>
        <v>2.7903868698710435E-2</v>
      </c>
      <c r="L39" s="56">
        <f t="shared" si="29"/>
        <v>9.1964081632653072E-3</v>
      </c>
      <c r="M39" s="56">
        <f t="shared" si="29"/>
        <v>4.3550907655880031E-2</v>
      </c>
      <c r="N39" s="56">
        <f t="shared" si="29"/>
        <v>4.8148717160854199E-2</v>
      </c>
      <c r="O39" s="56">
        <f t="shared" si="29"/>
        <v>6.8138534346766103E-2</v>
      </c>
      <c r="P39" s="56">
        <f t="shared" si="29"/>
        <v>7.5623298856831778E-2</v>
      </c>
      <c r="Q39" s="56">
        <f t="shared" ref="Q39" si="30">Q12/Q23</f>
        <v>5.8243130724396332E-2</v>
      </c>
      <c r="R39" s="56"/>
    </row>
    <row r="40" spans="1:21" x14ac:dyDescent="0.3">
      <c r="A40" s="18" t="s">
        <v>80</v>
      </c>
      <c r="B40" s="17" t="s">
        <v>41</v>
      </c>
      <c r="C40" s="6" t="s">
        <v>61</v>
      </c>
      <c r="D40" s="7">
        <f t="shared" ref="D40:P40" si="31">D20-D19</f>
        <v>-48.439999999999941</v>
      </c>
      <c r="E40" s="7">
        <f t="shared" si="31"/>
        <v>-140.154</v>
      </c>
      <c r="F40" s="7">
        <f t="shared" si="31"/>
        <v>-31.6099999999999</v>
      </c>
      <c r="G40" s="7">
        <f t="shared" si="31"/>
        <v>-192.62700000000007</v>
      </c>
      <c r="H40" s="7">
        <f t="shared" si="31"/>
        <v>-199.40899999999999</v>
      </c>
      <c r="I40" s="7">
        <f t="shared" si="31"/>
        <v>-83.592999999999961</v>
      </c>
      <c r="J40" s="7">
        <f t="shared" si="31"/>
        <v>-230.52599999999995</v>
      </c>
      <c r="K40" s="7">
        <f t="shared" si="31"/>
        <v>-475.71799999999996</v>
      </c>
      <c r="L40" s="7">
        <f t="shared" si="31"/>
        <v>-171.61800000000017</v>
      </c>
      <c r="M40" s="7">
        <f t="shared" si="31"/>
        <v>-596.37899999999991</v>
      </c>
      <c r="N40" s="7">
        <f t="shared" si="31"/>
        <v>-898</v>
      </c>
      <c r="O40" s="7">
        <f t="shared" si="31"/>
        <v>-884</v>
      </c>
      <c r="P40" s="7">
        <f t="shared" si="31"/>
        <v>-594</v>
      </c>
      <c r="Q40" s="7">
        <f t="shared" ref="Q40" si="32">Q20-Q19</f>
        <v>395</v>
      </c>
      <c r="R40" s="7"/>
    </row>
    <row r="41" spans="1:21" x14ac:dyDescent="0.3">
      <c r="A41" s="53" t="s">
        <v>96</v>
      </c>
      <c r="B41" s="49" t="s">
        <v>42</v>
      </c>
      <c r="C41" s="52" t="s">
        <v>98</v>
      </c>
      <c r="D41" s="29">
        <f>D20/D19</f>
        <v>0.9379578871868437</v>
      </c>
      <c r="E41" s="29">
        <f t="shared" ref="E41:P41" si="33">E20/E19</f>
        <v>0.88747260158489294</v>
      </c>
      <c r="F41" s="29">
        <f t="shared" si="33"/>
        <v>0.97553736916439349</v>
      </c>
      <c r="G41" s="29">
        <f t="shared" si="33"/>
        <v>0.8221651269088488</v>
      </c>
      <c r="H41" s="29">
        <f t="shared" si="33"/>
        <v>0.82455132390023989</v>
      </c>
      <c r="I41" s="29">
        <f t="shared" si="33"/>
        <v>0.90281511002808834</v>
      </c>
      <c r="J41" s="29">
        <f t="shared" si="33"/>
        <v>0.80822389601832856</v>
      </c>
      <c r="K41" s="29">
        <f t="shared" si="33"/>
        <v>0.68234769358562941</v>
      </c>
      <c r="L41" s="29">
        <f t="shared" si="33"/>
        <v>0.86555339422488609</v>
      </c>
      <c r="M41" s="29">
        <f t="shared" si="33"/>
        <v>0.62500825274981631</v>
      </c>
      <c r="N41" s="29">
        <f t="shared" si="33"/>
        <v>0.60088888888888892</v>
      </c>
      <c r="O41" s="29">
        <f t="shared" si="33"/>
        <v>0.64035801464605369</v>
      </c>
      <c r="P41" s="29">
        <f t="shared" si="33"/>
        <v>0.72060206961429918</v>
      </c>
      <c r="Q41" s="29">
        <f t="shared" ref="Q41" si="34">Q20/Q19</f>
        <v>1.1532790065968179</v>
      </c>
      <c r="R41" s="29"/>
    </row>
    <row r="42" spans="1:21" x14ac:dyDescent="0.3">
      <c r="A42" s="16" t="s">
        <v>81</v>
      </c>
      <c r="B42" s="17" t="s">
        <v>43</v>
      </c>
      <c r="C42" s="1" t="s">
        <v>60</v>
      </c>
      <c r="D42" s="30">
        <f t="shared" ref="D42:P42" si="35">(D20-D21)/D19</f>
        <v>0.92210538449715673</v>
      </c>
      <c r="E42" s="30">
        <f t="shared" si="35"/>
        <v>0.87836468595193928</v>
      </c>
      <c r="F42" s="30">
        <f t="shared" si="35"/>
        <v>0.95696403350939319</v>
      </c>
      <c r="G42" s="30">
        <f t="shared" si="35"/>
        <v>0.800008124234314</v>
      </c>
      <c r="H42" s="30">
        <f t="shared" si="35"/>
        <v>0.81028994356684969</v>
      </c>
      <c r="I42" s="30">
        <f t="shared" si="35"/>
        <v>0.88480766011272527</v>
      </c>
      <c r="J42" s="30">
        <f t="shared" si="35"/>
        <v>0.79048764701869623</v>
      </c>
      <c r="K42" s="30">
        <f t="shared" si="35"/>
        <v>0.6649866520299732</v>
      </c>
      <c r="L42" s="30">
        <f t="shared" si="35"/>
        <v>0.84361802053621004</v>
      </c>
      <c r="M42" s="30">
        <f t="shared" si="35"/>
        <v>0.60425848178327313</v>
      </c>
      <c r="N42" s="30">
        <f t="shared" si="35"/>
        <v>0.5822222222222222</v>
      </c>
      <c r="O42" s="30">
        <f t="shared" si="35"/>
        <v>0.62408462164361267</v>
      </c>
      <c r="P42" s="30">
        <f t="shared" si="35"/>
        <v>0.69238005644402634</v>
      </c>
      <c r="Q42" s="30">
        <f t="shared" ref="Q42" si="36">(Q20-Q21)/Q19</f>
        <v>1.1323244082266202</v>
      </c>
      <c r="R42" s="30"/>
    </row>
    <row r="43" spans="1:21" x14ac:dyDescent="0.3">
      <c r="A43" s="18" t="s">
        <v>82</v>
      </c>
      <c r="B43" s="49" t="s">
        <v>44</v>
      </c>
      <c r="C43" s="6" t="s">
        <v>62</v>
      </c>
      <c r="D43" s="29">
        <f t="shared" ref="D43:P43" si="37">D14/D19</f>
        <v>2.1274143142579024E-2</v>
      </c>
      <c r="E43" s="29">
        <f t="shared" si="37"/>
        <v>0.20678436945508266</v>
      </c>
      <c r="F43" s="29">
        <f t="shared" si="37"/>
        <v>0.38771838179813106</v>
      </c>
      <c r="G43" s="29">
        <f t="shared" si="37"/>
        <v>0.2031058578499029</v>
      </c>
      <c r="H43" s="29">
        <f t="shared" si="37"/>
        <v>0.21629804164474389</v>
      </c>
      <c r="I43" s="29">
        <f t="shared" si="37"/>
        <v>0.30835418255547908</v>
      </c>
      <c r="J43" s="29">
        <f t="shared" si="37"/>
        <v>0.30665991158496514</v>
      </c>
      <c r="K43" s="29">
        <f t="shared" si="37"/>
        <v>0.26642521464256952</v>
      </c>
      <c r="L43" s="29">
        <f t="shared" si="37"/>
        <v>0.37760178992649296</v>
      </c>
      <c r="M43" s="29">
        <f t="shared" si="37"/>
        <v>0.18046012931508779</v>
      </c>
      <c r="N43" s="29">
        <f t="shared" si="37"/>
        <v>0.20844444444444443</v>
      </c>
      <c r="O43" s="29">
        <f t="shared" si="37"/>
        <v>0.21196094385679415</v>
      </c>
      <c r="P43" s="29">
        <f t="shared" si="37"/>
        <v>0.20696142991533395</v>
      </c>
      <c r="Q43" s="29">
        <f t="shared" ref="Q43" si="38">Q14/Q19</f>
        <v>0.30422972448583624</v>
      </c>
      <c r="R43" s="29"/>
    </row>
    <row r="44" spans="1:21" x14ac:dyDescent="0.3">
      <c r="A44" s="16" t="s">
        <v>83</v>
      </c>
      <c r="B44" s="17" t="s">
        <v>45</v>
      </c>
      <c r="C44" s="1" t="s">
        <v>63</v>
      </c>
      <c r="D44" s="30">
        <f t="shared" ref="D44:P44" si="39">D29/D7</f>
        <v>12.078696934504165</v>
      </c>
      <c r="E44" s="30">
        <f t="shared" si="39"/>
        <v>4.4491473296500912</v>
      </c>
      <c r="F44" s="30">
        <f t="shared" si="39"/>
        <v>4.2556475375333234</v>
      </c>
      <c r="G44" s="30">
        <f t="shared" si="39"/>
        <v>4.5035593855376543</v>
      </c>
      <c r="H44" s="30">
        <f t="shared" si="39"/>
        <v>3.8168049040511729</v>
      </c>
      <c r="I44" s="30">
        <f t="shared" si="39"/>
        <v>2.5625205913410776</v>
      </c>
      <c r="J44" s="30">
        <f t="shared" si="39"/>
        <v>3.9128460686600217</v>
      </c>
      <c r="K44" s="30">
        <f t="shared" si="39"/>
        <v>3.5262697022767076</v>
      </c>
      <c r="L44" s="30">
        <f t="shared" si="39"/>
        <v>3.0163516662951735</v>
      </c>
      <c r="M44" s="30">
        <f t="shared" si="39"/>
        <v>2.6099341441743431</v>
      </c>
      <c r="N44" s="30">
        <f t="shared" si="39"/>
        <v>2.8584615384615386</v>
      </c>
      <c r="O44" s="30">
        <f t="shared" si="39"/>
        <v>2.2583383869011522</v>
      </c>
      <c r="P44" s="30">
        <f t="shared" si="39"/>
        <v>2.6368580060422961</v>
      </c>
      <c r="Q44" s="30">
        <f t="shared" ref="Q44" si="40">Q29/Q7</f>
        <v>2.5529265255292652</v>
      </c>
      <c r="R44" s="30"/>
    </row>
    <row r="45" spans="1:21" x14ac:dyDescent="0.3">
      <c r="A45" s="18" t="s">
        <v>84</v>
      </c>
      <c r="B45" s="54" t="s">
        <v>99</v>
      </c>
      <c r="C45" s="6" t="s">
        <v>64</v>
      </c>
      <c r="D45" s="29">
        <f t="shared" ref="D45:P45" si="41">D18/D23</f>
        <v>0.81172111724983476</v>
      </c>
      <c r="E45" s="29">
        <f t="shared" si="41"/>
        <v>1.1198870776556975</v>
      </c>
      <c r="F45" s="29">
        <f t="shared" si="41"/>
        <v>1.3796811271783462</v>
      </c>
      <c r="G45" s="29">
        <f t="shared" si="41"/>
        <v>1.3942060872753943</v>
      </c>
      <c r="H45" s="29">
        <f t="shared" si="41"/>
        <v>1.313858635857367</v>
      </c>
      <c r="I45" s="29">
        <f t="shared" si="41"/>
        <v>1.15316965476289</v>
      </c>
      <c r="J45" s="29">
        <f t="shared" si="41"/>
        <v>1.2613113214387091</v>
      </c>
      <c r="K45" s="29">
        <f t="shared" si="41"/>
        <v>1.6354044548651818</v>
      </c>
      <c r="L45" s="29">
        <f t="shared" si="41"/>
        <v>1.7322448979591836</v>
      </c>
      <c r="M45" s="29">
        <f t="shared" si="41"/>
        <v>1.5610102604577742</v>
      </c>
      <c r="N45" s="65">
        <f t="shared" si="41"/>
        <v>1.694576739898602</v>
      </c>
      <c r="O45" s="29">
        <f t="shared" si="41"/>
        <v>1.5373583823318515</v>
      </c>
      <c r="P45" s="29">
        <f t="shared" si="41"/>
        <v>1.4718290691344584</v>
      </c>
      <c r="Q45" s="29">
        <f t="shared" ref="Q45" si="42">Q18/Q23</f>
        <v>1.491019388604734</v>
      </c>
      <c r="R45" s="29"/>
    </row>
    <row r="46" spans="1:21" x14ac:dyDescent="0.3">
      <c r="A46" s="18" t="s">
        <v>97</v>
      </c>
      <c r="B46" s="17" t="s">
        <v>100</v>
      </c>
      <c r="C46" s="6" t="s">
        <v>111</v>
      </c>
      <c r="D46" s="28">
        <f t="shared" ref="D46:U46" si="43">D13/D4</f>
        <v>0</v>
      </c>
      <c r="E46" s="28">
        <f t="shared" si="43"/>
        <v>0</v>
      </c>
      <c r="F46" s="28">
        <f t="shared" si="43"/>
        <v>3.594996398143102E-4</v>
      </c>
      <c r="G46" s="28">
        <f t="shared" si="43"/>
        <v>1.785014195970907E-3</v>
      </c>
      <c r="H46" s="28">
        <f t="shared" si="43"/>
        <v>1.3805449772107859E-3</v>
      </c>
      <c r="I46" s="28">
        <f t="shared" si="43"/>
        <v>1.5327686824101416E-2</v>
      </c>
      <c r="J46" s="28">
        <f t="shared" si="43"/>
        <v>1.4411318910840491E-2</v>
      </c>
      <c r="K46" s="28">
        <f t="shared" si="43"/>
        <v>1.2345526406155376E-2</v>
      </c>
      <c r="L46" s="28">
        <f t="shared" si="43"/>
        <v>1.6081070449301283E-2</v>
      </c>
      <c r="M46" s="28">
        <f t="shared" si="43"/>
        <v>1.5189668414465066E-2</v>
      </c>
      <c r="N46" s="28">
        <f t="shared" si="43"/>
        <v>9.0032154340836026E-3</v>
      </c>
      <c r="O46" s="28">
        <f t="shared" si="43"/>
        <v>6.6666666666666671E-3</v>
      </c>
      <c r="P46" s="28">
        <f t="shared" si="43"/>
        <v>3.6529680365296807E-3</v>
      </c>
      <c r="Q46" s="28">
        <f t="shared" si="43"/>
        <v>5.8479532163742687E-3</v>
      </c>
      <c r="R46" s="28">
        <f t="shared" si="43"/>
        <v>6.4327485380116954E-3</v>
      </c>
      <c r="S46" s="28">
        <f t="shared" si="43"/>
        <v>7.0175438596491221E-3</v>
      </c>
      <c r="T46" s="28">
        <f t="shared" si="43"/>
        <v>7.6023391812865496E-3</v>
      </c>
      <c r="U46" s="28">
        <f t="shared" si="43"/>
        <v>8.1871345029239772E-3</v>
      </c>
    </row>
  </sheetData>
  <mergeCells count="2">
    <mergeCell ref="A6:A13"/>
    <mergeCell ref="A14:A2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223EF-81D0-4346-A5F9-F4FD876BEF15}">
  <sheetPr codeName="Planilha15"/>
  <dimension ref="A2:AF46"/>
  <sheetViews>
    <sheetView workbookViewId="0">
      <pane xSplit="3" ySplit="3" topLeftCell="M4" activePane="bottomRight" state="frozen"/>
      <selection activeCell="C22" sqref="C22"/>
      <selection pane="topRight" activeCell="C22" sqref="C22"/>
      <selection pane="bottomLeft" activeCell="C22" sqref="C22"/>
      <selection pane="bottomRight" activeCell="AE26" sqref="AE26:AF26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1" width="8.33203125" customWidth="1"/>
  </cols>
  <sheetData>
    <row r="2" spans="1:32" x14ac:dyDescent="0.3">
      <c r="AC2" s="104"/>
      <c r="AD2" s="104"/>
      <c r="AE2" s="104"/>
    </row>
    <row r="3" spans="1:32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8" t="s">
        <v>94</v>
      </c>
    </row>
    <row r="4" spans="1:32" x14ac:dyDescent="0.3">
      <c r="A4" s="4" t="s">
        <v>5</v>
      </c>
      <c r="B4" s="11">
        <v>1</v>
      </c>
      <c r="C4" s="6" t="s">
        <v>4</v>
      </c>
      <c r="D4" s="21">
        <v>2.97</v>
      </c>
      <c r="E4" s="21">
        <v>1.71</v>
      </c>
      <c r="F4" s="21">
        <v>4.2300000000000004</v>
      </c>
      <c r="G4" s="21">
        <v>7.27</v>
      </c>
      <c r="H4" s="21">
        <v>19.850000000000001</v>
      </c>
      <c r="I4" s="21">
        <v>10.89</v>
      </c>
      <c r="J4" s="21">
        <v>13.95</v>
      </c>
      <c r="K4" s="21">
        <v>10.86</v>
      </c>
      <c r="L4" s="21">
        <v>9.4499999999999993</v>
      </c>
      <c r="M4" s="21">
        <v>9.1199999999999992</v>
      </c>
      <c r="N4" s="21">
        <v>8.66</v>
      </c>
      <c r="O4" s="21">
        <v>7.75</v>
      </c>
      <c r="P4" s="21">
        <v>7.91</v>
      </c>
      <c r="Q4" s="21">
        <v>9.8800000000000008</v>
      </c>
      <c r="R4" s="21">
        <v>8.8000000000000007</v>
      </c>
      <c r="S4" s="21">
        <v>7.38</v>
      </c>
      <c r="T4" s="21">
        <v>6.11</v>
      </c>
      <c r="U4" s="21">
        <v>2.38</v>
      </c>
      <c r="V4" s="21">
        <v>1.17</v>
      </c>
      <c r="W4" s="21">
        <v>1.2</v>
      </c>
      <c r="X4" s="21">
        <v>0.99</v>
      </c>
      <c r="Y4" s="21">
        <v>0.93</v>
      </c>
      <c r="Z4" s="21">
        <v>2.4700000000000002</v>
      </c>
      <c r="AA4" s="21">
        <v>10.31</v>
      </c>
      <c r="AB4" s="21">
        <v>9.6</v>
      </c>
      <c r="AC4" s="21">
        <v>8.9</v>
      </c>
      <c r="AD4" s="21">
        <v>5</v>
      </c>
      <c r="AE4" s="21">
        <v>5.55</v>
      </c>
      <c r="AF4" s="20">
        <v>5.75</v>
      </c>
    </row>
    <row r="5" spans="1:32" x14ac:dyDescent="0.3">
      <c r="A5" s="5" t="s">
        <v>8</v>
      </c>
      <c r="B5" s="12">
        <v>3</v>
      </c>
      <c r="C5" s="1" t="s">
        <v>86</v>
      </c>
      <c r="D5" s="3">
        <v>11.9</v>
      </c>
      <c r="E5" s="3">
        <v>11.9</v>
      </c>
      <c r="F5" s="3">
        <v>11.9</v>
      </c>
      <c r="G5" s="3">
        <v>11.9</v>
      </c>
      <c r="H5" s="3">
        <v>11.9</v>
      </c>
      <c r="I5" s="3">
        <v>11.9</v>
      </c>
      <c r="J5" s="3">
        <v>11.9</v>
      </c>
      <c r="K5" s="3">
        <v>11.9</v>
      </c>
      <c r="L5" s="3">
        <v>11.9</v>
      </c>
      <c r="M5" s="3">
        <v>11.9</v>
      </c>
      <c r="N5" s="3">
        <v>11.9</v>
      </c>
      <c r="O5" s="3">
        <v>11.9</v>
      </c>
      <c r="P5" s="3">
        <v>11.9</v>
      </c>
      <c r="Q5" s="3">
        <v>11.9</v>
      </c>
      <c r="R5" s="3">
        <v>11.9</v>
      </c>
      <c r="S5" s="3">
        <v>11.9</v>
      </c>
      <c r="T5" s="3">
        <v>11.9</v>
      </c>
      <c r="U5" s="3">
        <v>11.9</v>
      </c>
      <c r="V5" s="3">
        <v>11.9</v>
      </c>
      <c r="W5" s="3">
        <v>11.9</v>
      </c>
      <c r="X5" s="3">
        <v>11.9</v>
      </c>
      <c r="Y5" s="3">
        <v>11.9</v>
      </c>
      <c r="Z5" s="3">
        <v>11.931119000000001</v>
      </c>
      <c r="AA5" s="3">
        <v>11.993684</v>
      </c>
      <c r="AB5" s="3">
        <v>11.931119000000001</v>
      </c>
      <c r="AC5" s="3">
        <v>11.99</v>
      </c>
      <c r="AD5" s="3">
        <v>11.931119000000001</v>
      </c>
      <c r="AE5" s="3">
        <v>11.931119000000001</v>
      </c>
      <c r="AF5" s="3">
        <v>11.931119000000001</v>
      </c>
    </row>
    <row r="6" spans="1:32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>
        <f>129.38-51.91</f>
        <v>77.47</v>
      </c>
      <c r="I6" s="7">
        <f>143.7-58.05</f>
        <v>85.649999999999991</v>
      </c>
      <c r="J6" s="7">
        <v>94.34</v>
      </c>
      <c r="K6" s="7">
        <v>102.06</v>
      </c>
      <c r="L6" s="7">
        <v>105.91</v>
      </c>
      <c r="M6" s="7">
        <v>98.77</v>
      </c>
      <c r="N6" s="7">
        <v>103.62</v>
      </c>
      <c r="O6" s="7">
        <v>106.13365</v>
      </c>
      <c r="P6" s="7">
        <v>133.374</v>
      </c>
      <c r="Q6" s="7">
        <v>152.22</v>
      </c>
      <c r="R6" s="7">
        <v>145.2131</v>
      </c>
      <c r="S6" s="7">
        <v>130.5</v>
      </c>
      <c r="T6" s="7">
        <v>128.07</v>
      </c>
      <c r="U6" s="7">
        <v>118.37287999999999</v>
      </c>
      <c r="V6" s="7">
        <v>89.125283999999994</v>
      </c>
      <c r="W6" s="7">
        <v>81.100386999999998</v>
      </c>
      <c r="X6" s="7">
        <v>78.5</v>
      </c>
      <c r="Y6" s="7">
        <v>87.2</v>
      </c>
      <c r="Z6" s="7">
        <v>92.5</v>
      </c>
      <c r="AA6" s="7">
        <v>103.5</v>
      </c>
      <c r="AB6" s="7">
        <v>107.12</v>
      </c>
      <c r="AC6" s="7">
        <v>111</v>
      </c>
      <c r="AD6" s="7">
        <v>74</v>
      </c>
      <c r="AE6" s="7"/>
      <c r="AF6" s="1"/>
    </row>
    <row r="7" spans="1:32" x14ac:dyDescent="0.3">
      <c r="A7" s="101"/>
      <c r="B7" s="13">
        <v>5</v>
      </c>
      <c r="C7" s="1" t="s">
        <v>9</v>
      </c>
      <c r="D7" s="3"/>
      <c r="E7" s="3"/>
      <c r="F7" s="3"/>
      <c r="G7" s="3"/>
      <c r="H7" s="3">
        <v>24.21</v>
      </c>
      <c r="I7" s="3">
        <v>28.43</v>
      </c>
      <c r="J7" s="3">
        <v>36.42</v>
      </c>
      <c r="K7" s="3">
        <v>28.87</v>
      </c>
      <c r="L7" s="3">
        <v>29.02</v>
      </c>
      <c r="M7" s="3">
        <v>5.1130000000000004</v>
      </c>
      <c r="N7" s="3">
        <v>35.74</v>
      </c>
      <c r="O7" s="3">
        <v>34.340000000000003</v>
      </c>
      <c r="P7" s="3">
        <v>43.99</v>
      </c>
      <c r="Q7" s="3">
        <v>56.825000000000003</v>
      </c>
      <c r="R7" s="3">
        <v>36.18</v>
      </c>
      <c r="S7" s="3">
        <v>48.347700000000003</v>
      </c>
      <c r="T7" s="3">
        <v>42.127552000000001</v>
      </c>
      <c r="U7" s="3">
        <v>27.06</v>
      </c>
      <c r="V7" s="3">
        <v>20.440000000000001</v>
      </c>
      <c r="W7" s="3">
        <v>27.3</v>
      </c>
      <c r="X7" s="3">
        <v>25.9</v>
      </c>
      <c r="Y7" s="3">
        <v>29.5</v>
      </c>
      <c r="Z7" s="3">
        <v>30.7</v>
      </c>
      <c r="AA7" s="3">
        <v>35.1</v>
      </c>
      <c r="AB7" s="3">
        <v>36.200000000000003</v>
      </c>
      <c r="AC7" s="3">
        <v>34.200000000000003</v>
      </c>
      <c r="AD7" s="3">
        <v>6.4</v>
      </c>
      <c r="AE7" s="3"/>
      <c r="AF7" s="1"/>
    </row>
    <row r="8" spans="1:32" x14ac:dyDescent="0.3">
      <c r="A8" s="101"/>
      <c r="B8" s="13">
        <v>6</v>
      </c>
      <c r="C8" s="6" t="s">
        <v>10</v>
      </c>
      <c r="D8" s="7"/>
      <c r="E8" s="7"/>
      <c r="F8" s="7"/>
      <c r="G8" s="7"/>
      <c r="H8" s="7">
        <v>10.59</v>
      </c>
      <c r="I8" s="7">
        <v>11.89</v>
      </c>
      <c r="J8" s="7">
        <v>12.540604999999999</v>
      </c>
      <c r="K8" s="7">
        <v>11.888824</v>
      </c>
      <c r="L8" s="7">
        <v>11.164256</v>
      </c>
      <c r="M8" s="7">
        <v>-13.733328</v>
      </c>
      <c r="N8" s="7">
        <v>10.227496</v>
      </c>
      <c r="O8" s="7">
        <v>12.620397000000001</v>
      </c>
      <c r="P8" s="7">
        <v>17.966324</v>
      </c>
      <c r="Q8" s="7">
        <v>27.01324</v>
      </c>
      <c r="R8" s="7">
        <v>4.8661909999999997</v>
      </c>
      <c r="S8" s="7">
        <v>16.235859999999999</v>
      </c>
      <c r="T8" s="7">
        <v>10.539175999999999</v>
      </c>
      <c r="U8" s="7">
        <v>-1.459382</v>
      </c>
      <c r="V8" s="3">
        <v>-0.165268</v>
      </c>
      <c r="W8" s="7">
        <v>7.0704880000000001</v>
      </c>
      <c r="X8" s="7">
        <v>5.0285739999999999</v>
      </c>
      <c r="Y8" s="7">
        <v>8.5</v>
      </c>
      <c r="Z8" s="7">
        <v>10.3</v>
      </c>
      <c r="AA8" s="7">
        <v>15.4</v>
      </c>
      <c r="AB8" s="3">
        <v>16.8</v>
      </c>
      <c r="AC8" s="7">
        <v>14.9</v>
      </c>
      <c r="AD8" s="7">
        <v>-12.5</v>
      </c>
      <c r="AE8" s="7"/>
      <c r="AF8" s="1"/>
    </row>
    <row r="9" spans="1:32" x14ac:dyDescent="0.3">
      <c r="A9" s="101"/>
      <c r="B9" s="13">
        <v>11</v>
      </c>
      <c r="C9" s="1" t="s">
        <v>11</v>
      </c>
      <c r="D9" s="3"/>
      <c r="E9" s="3"/>
      <c r="F9" s="3"/>
      <c r="G9" s="3"/>
      <c r="H9" s="3">
        <v>-3.15</v>
      </c>
      <c r="I9" s="3">
        <v>-2.2639999999999998</v>
      </c>
      <c r="J9" s="3">
        <v>-1.9699420000000001</v>
      </c>
      <c r="K9" s="3">
        <v>-2.663815</v>
      </c>
      <c r="L9" s="3">
        <v>-6.9181010000000001</v>
      </c>
      <c r="M9" s="3">
        <v>-6.8632780000000002</v>
      </c>
      <c r="N9" s="3">
        <v>-10.980942000000001</v>
      </c>
      <c r="O9" s="3">
        <v>-9.2588380000000008</v>
      </c>
      <c r="P9" s="3">
        <v>-12.999333999999999</v>
      </c>
      <c r="Q9" s="3">
        <v>-12.020697999999999</v>
      </c>
      <c r="R9" s="3">
        <v>-11.429289000000001</v>
      </c>
      <c r="S9" s="3">
        <v>-6.9715780000000001</v>
      </c>
      <c r="T9" s="3">
        <v>-6.2174769999999997</v>
      </c>
      <c r="U9" s="3">
        <v>-7.653886</v>
      </c>
      <c r="V9" s="3">
        <v>-8.7343890000000002</v>
      </c>
      <c r="W9" s="3">
        <v>-7.8301350000000003</v>
      </c>
      <c r="X9" s="3">
        <v>-4.8</v>
      </c>
      <c r="Y9" s="3">
        <v>-3</v>
      </c>
      <c r="Z9" s="3">
        <v>-2.6</v>
      </c>
      <c r="AA9" s="3">
        <v>-1.2</v>
      </c>
      <c r="AB9" s="3">
        <v>-0.05</v>
      </c>
      <c r="AC9" s="3">
        <v>-0.3</v>
      </c>
      <c r="AD9" s="3">
        <v>0</v>
      </c>
      <c r="AE9" s="3"/>
      <c r="AF9" s="1"/>
    </row>
    <row r="10" spans="1:32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>
        <v>5.78</v>
      </c>
      <c r="I10" s="7">
        <v>9.41</v>
      </c>
      <c r="J10" s="7">
        <v>9.2084799999999998</v>
      </c>
      <c r="K10" s="7">
        <v>10.076931</v>
      </c>
      <c r="L10" s="7">
        <v>10.147667</v>
      </c>
      <c r="M10" s="7">
        <v>-21.115162000000002</v>
      </c>
      <c r="N10" s="7">
        <v>-0.75344599999999995</v>
      </c>
      <c r="O10" s="7">
        <v>3.3615590000000002</v>
      </c>
      <c r="P10" s="7">
        <v>4.96699</v>
      </c>
      <c r="Q10" s="7">
        <v>14.992542</v>
      </c>
      <c r="R10" s="7">
        <v>-6.5630980000000001</v>
      </c>
      <c r="S10" s="7">
        <v>9.2642830000000007</v>
      </c>
      <c r="T10" s="7">
        <v>4.3216989999999997</v>
      </c>
      <c r="U10" s="7">
        <v>-9.1132670000000005</v>
      </c>
      <c r="V10" s="7">
        <v>-8.8624749999999999</v>
      </c>
      <c r="W10" s="7">
        <v>-0.75964699999999996</v>
      </c>
      <c r="X10" s="7">
        <v>-1.5381560000000001</v>
      </c>
      <c r="Y10" s="7">
        <v>4.3</v>
      </c>
      <c r="Z10" s="7">
        <v>7.6</v>
      </c>
      <c r="AA10" s="7">
        <v>14</v>
      </c>
      <c r="AB10" s="7">
        <v>16.2</v>
      </c>
      <c r="AC10" s="7">
        <v>14.6</v>
      </c>
      <c r="AD10" s="7">
        <v>-12.8</v>
      </c>
      <c r="AE10" s="7"/>
      <c r="AF10" s="1"/>
    </row>
    <row r="11" spans="1:32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>
        <v>0.33900000000000002</v>
      </c>
      <c r="I11" s="3">
        <v>0.184</v>
      </c>
      <c r="J11" s="3">
        <v>6.1559999999999997E-2</v>
      </c>
      <c r="K11" s="3">
        <v>1.6236E-2</v>
      </c>
      <c r="L11" s="3">
        <v>7.4943999999999997E-2</v>
      </c>
      <c r="M11" s="3">
        <v>1.4144E-2</v>
      </c>
      <c r="N11" s="3">
        <v>0</v>
      </c>
      <c r="O11" s="3">
        <v>-0.77212999999999998</v>
      </c>
      <c r="P11" s="3">
        <v>6.7759E-2</v>
      </c>
      <c r="Q11" s="3">
        <v>0</v>
      </c>
      <c r="R11" s="3">
        <v>3.5355999999999999E-2</v>
      </c>
      <c r="S11" s="3">
        <v>0</v>
      </c>
      <c r="T11" s="3">
        <v>0.06</v>
      </c>
      <c r="U11" s="3">
        <v>0.05</v>
      </c>
      <c r="V11" s="3">
        <v>0.12368</v>
      </c>
      <c r="W11" s="3">
        <v>0.129473</v>
      </c>
      <c r="X11" s="3">
        <v>0.198126</v>
      </c>
      <c r="Y11" s="3">
        <v>0.1</v>
      </c>
      <c r="Z11" s="3">
        <v>0.1</v>
      </c>
      <c r="AA11" s="3">
        <v>0.1</v>
      </c>
      <c r="AB11" s="3">
        <v>0.1</v>
      </c>
      <c r="AC11" s="3">
        <v>0.1</v>
      </c>
      <c r="AD11" s="3">
        <v>0.1</v>
      </c>
      <c r="AE11" s="3"/>
      <c r="AF11" s="1"/>
    </row>
    <row r="12" spans="1:32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>
        <v>5.4359999999999999</v>
      </c>
      <c r="I12" s="7">
        <v>7.9740000000000002</v>
      </c>
      <c r="J12" s="7">
        <v>9.1469199999999997</v>
      </c>
      <c r="K12" s="7">
        <v>10.060695000000001</v>
      </c>
      <c r="L12" s="7">
        <v>10.072723</v>
      </c>
      <c r="M12" s="7">
        <v>-21.129306</v>
      </c>
      <c r="N12" s="7">
        <v>-0.71234299999999995</v>
      </c>
      <c r="O12" s="7">
        <v>3.1854809999999998</v>
      </c>
      <c r="P12" s="7">
        <v>19.073858999999999</v>
      </c>
      <c r="Q12" s="7">
        <v>16.372447000000001</v>
      </c>
      <c r="R12" s="7">
        <v>-8.9527490000000007</v>
      </c>
      <c r="S12" s="7">
        <v>9.1974219999999995</v>
      </c>
      <c r="T12" s="7">
        <v>4.302886</v>
      </c>
      <c r="U12" s="7">
        <v>-8.3088270000000009</v>
      </c>
      <c r="V12" s="7">
        <v>-8.9861550000000001</v>
      </c>
      <c r="W12" s="7">
        <v>-0.88912000000000002</v>
      </c>
      <c r="X12" s="7">
        <v>-1.736283</v>
      </c>
      <c r="Y12" s="7">
        <v>4.1960629999999997</v>
      </c>
      <c r="Z12" s="7">
        <v>6.5549390000000001</v>
      </c>
      <c r="AA12" s="7">
        <v>10.675008</v>
      </c>
      <c r="AB12" s="7">
        <v>13.8</v>
      </c>
      <c r="AC12" s="7">
        <v>9.9</v>
      </c>
      <c r="AD12" s="7">
        <v>-20.3</v>
      </c>
      <c r="AE12" s="7"/>
      <c r="AF12" s="1"/>
    </row>
    <row r="13" spans="1:32" x14ac:dyDescent="0.3">
      <c r="A13" s="101"/>
      <c r="B13" s="13">
        <v>2</v>
      </c>
      <c r="C13" s="1" t="s">
        <v>15</v>
      </c>
      <c r="D13" s="22"/>
      <c r="E13" s="22"/>
      <c r="F13" s="22"/>
      <c r="G13" s="22"/>
      <c r="H13" s="22">
        <v>7.0000000000000007E-2</v>
      </c>
      <c r="I13" s="22">
        <v>0.08</v>
      </c>
      <c r="J13" s="22">
        <v>0.05</v>
      </c>
      <c r="K13" s="22">
        <v>0.28999999999999998</v>
      </c>
      <c r="L13" s="22">
        <v>0.41</v>
      </c>
      <c r="M13" s="22">
        <v>0</v>
      </c>
      <c r="N13" s="22">
        <v>0</v>
      </c>
      <c r="O13" s="22">
        <v>0</v>
      </c>
      <c r="P13" s="22">
        <v>0.22</v>
      </c>
      <c r="Q13" s="22">
        <v>0.32</v>
      </c>
      <c r="R13" s="22">
        <v>0</v>
      </c>
      <c r="S13" s="22">
        <v>0.25</v>
      </c>
      <c r="T13" s="22">
        <v>0.25</v>
      </c>
      <c r="U13" s="22">
        <v>0.25</v>
      </c>
      <c r="V13" s="22">
        <v>0</v>
      </c>
      <c r="W13" s="22">
        <v>0</v>
      </c>
      <c r="X13" s="22">
        <v>0</v>
      </c>
      <c r="Y13" s="22">
        <v>0.21</v>
      </c>
      <c r="Z13" s="22">
        <v>0.28000000000000003</v>
      </c>
      <c r="AA13" s="22">
        <v>0.28000000000000003</v>
      </c>
      <c r="AB13" s="22">
        <v>0.3</v>
      </c>
      <c r="AC13" s="22">
        <v>0</v>
      </c>
      <c r="AD13" s="22">
        <v>0</v>
      </c>
      <c r="AE13" s="22"/>
      <c r="AF13" s="1"/>
    </row>
    <row r="14" spans="1:32" x14ac:dyDescent="0.3">
      <c r="A14" s="105" t="s">
        <v>14</v>
      </c>
      <c r="B14" s="14">
        <v>8</v>
      </c>
      <c r="C14" s="6" t="s">
        <v>16</v>
      </c>
      <c r="D14" s="7"/>
      <c r="E14" s="7"/>
      <c r="F14" s="7"/>
      <c r="G14" s="7"/>
      <c r="H14" s="7">
        <v>5.9</v>
      </c>
      <c r="I14" s="7">
        <v>6.98</v>
      </c>
      <c r="J14" s="7">
        <v>5.98</v>
      </c>
      <c r="K14" s="7">
        <v>12.603323</v>
      </c>
      <c r="L14" s="7">
        <v>9.7130349999999996</v>
      </c>
      <c r="M14" s="7">
        <v>9.1809519999999996</v>
      </c>
      <c r="N14" s="7">
        <v>9.2027920000000005</v>
      </c>
      <c r="O14" s="7">
        <v>12.433742000000001</v>
      </c>
      <c r="P14" s="7">
        <v>38.977487000000004</v>
      </c>
      <c r="Q14" s="7">
        <v>13.026547000000001</v>
      </c>
      <c r="R14" s="7">
        <v>12.655353</v>
      </c>
      <c r="S14" s="7">
        <v>10.697957000000001</v>
      </c>
      <c r="T14" s="7">
        <v>10.886888000000001</v>
      </c>
      <c r="U14" s="7">
        <v>11.708472</v>
      </c>
      <c r="V14" s="7">
        <v>9.6571870000000004</v>
      </c>
      <c r="W14" s="7">
        <v>9.654693</v>
      </c>
      <c r="X14" s="7">
        <v>10.045442</v>
      </c>
      <c r="Y14" s="7">
        <v>10.883646000000001</v>
      </c>
      <c r="Z14" s="7">
        <v>13.573389000000001</v>
      </c>
      <c r="AA14" s="7">
        <v>24.998840999999999</v>
      </c>
      <c r="AB14" s="7">
        <v>53.5</v>
      </c>
      <c r="AC14" s="7">
        <v>83</v>
      </c>
      <c r="AD14" s="7">
        <v>58.7</v>
      </c>
      <c r="AE14" s="7"/>
      <c r="AF14" s="1"/>
    </row>
    <row r="15" spans="1:32" x14ac:dyDescent="0.3">
      <c r="A15" s="106"/>
      <c r="B15" s="14">
        <v>7</v>
      </c>
      <c r="C15" s="1" t="s">
        <v>17</v>
      </c>
      <c r="D15" s="3"/>
      <c r="E15" s="3"/>
      <c r="F15" s="3"/>
      <c r="G15" s="3"/>
      <c r="H15" s="3">
        <v>55</v>
      </c>
      <c r="I15" s="3">
        <v>44.82</v>
      </c>
      <c r="J15" s="3">
        <v>46.59</v>
      </c>
      <c r="K15" s="3">
        <v>186.47120000000001</v>
      </c>
      <c r="L15" s="3">
        <v>127.1187</v>
      </c>
      <c r="M15" s="3">
        <v>157.82</v>
      </c>
      <c r="N15" s="3">
        <v>159.44</v>
      </c>
      <c r="O15" s="3">
        <v>188.11</v>
      </c>
      <c r="P15" s="3">
        <v>248.43306999999999</v>
      </c>
      <c r="Q15" s="3">
        <v>170.536</v>
      </c>
      <c r="R15" s="3">
        <v>159.9</v>
      </c>
      <c r="S15" s="3">
        <v>158.37</v>
      </c>
      <c r="T15" s="3">
        <v>133.83699999999999</v>
      </c>
      <c r="U15" s="3">
        <v>126.4</v>
      </c>
      <c r="V15" s="3">
        <v>119.9</v>
      </c>
      <c r="W15" s="3">
        <v>99.9</v>
      </c>
      <c r="X15" s="3">
        <v>84</v>
      </c>
      <c r="Y15" s="3">
        <v>55.72</v>
      </c>
      <c r="Z15" s="3">
        <v>30.35</v>
      </c>
      <c r="AA15" s="3">
        <v>6.0094320000000003</v>
      </c>
      <c r="AB15" s="3">
        <v>0</v>
      </c>
      <c r="AC15" s="3">
        <v>0.8</v>
      </c>
      <c r="AD15" s="3">
        <v>7.1</v>
      </c>
      <c r="AE15" s="3"/>
      <c r="AF15" s="1"/>
    </row>
    <row r="16" spans="1:32" x14ac:dyDescent="0.3">
      <c r="A16" s="106"/>
      <c r="B16" s="14">
        <v>9</v>
      </c>
      <c r="C16" s="6" t="s">
        <v>92</v>
      </c>
      <c r="D16" s="7"/>
      <c r="E16" s="7"/>
      <c r="F16" s="7"/>
      <c r="G16" s="7"/>
      <c r="H16" s="7">
        <v>0.32546700000000001</v>
      </c>
      <c r="I16" s="7">
        <v>0</v>
      </c>
      <c r="J16" s="7">
        <v>0</v>
      </c>
      <c r="K16" s="7">
        <v>0</v>
      </c>
      <c r="L16" s="7">
        <v>1.1632279999999999</v>
      </c>
      <c r="M16" s="7">
        <v>0.92861000000000005</v>
      </c>
      <c r="N16" s="7">
        <v>0.88750700000000005</v>
      </c>
      <c r="O16" s="7">
        <v>0.98637200000000003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1.1481650000000001</v>
      </c>
      <c r="AA16" s="7">
        <v>3.26885</v>
      </c>
      <c r="AB16" s="7">
        <v>3.5</v>
      </c>
      <c r="AC16" s="7">
        <v>6.5</v>
      </c>
      <c r="AD16" s="7">
        <v>7.8</v>
      </c>
      <c r="AE16" s="7"/>
      <c r="AF16" s="1"/>
    </row>
    <row r="17" spans="1:32" x14ac:dyDescent="0.3">
      <c r="A17" s="106"/>
      <c r="B17" s="14">
        <v>10</v>
      </c>
      <c r="C17" s="1" t="s">
        <v>18</v>
      </c>
      <c r="D17" s="3"/>
      <c r="E17" s="3"/>
      <c r="F17" s="3"/>
      <c r="G17" s="3"/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/>
      <c r="AF17" s="1"/>
    </row>
    <row r="18" spans="1:32" x14ac:dyDescent="0.3">
      <c r="A18" s="106"/>
      <c r="B18" s="14">
        <v>15</v>
      </c>
      <c r="C18" s="6" t="s">
        <v>19</v>
      </c>
      <c r="D18" s="7"/>
      <c r="E18" s="7"/>
      <c r="F18" s="7"/>
      <c r="G18" s="7"/>
      <c r="H18" s="7">
        <v>91.49</v>
      </c>
      <c r="I18" s="7">
        <v>91.82</v>
      </c>
      <c r="J18" s="7">
        <v>98.782450999999995</v>
      </c>
      <c r="K18" s="7">
        <v>265.90893599999998</v>
      </c>
      <c r="L18" s="7">
        <v>258.919376</v>
      </c>
      <c r="M18" s="7">
        <v>280.22347600000001</v>
      </c>
      <c r="N18" s="7">
        <v>293.41210000000001</v>
      </c>
      <c r="O18" s="7">
        <v>308.20999999999998</v>
      </c>
      <c r="P18" s="7">
        <v>340.18</v>
      </c>
      <c r="Q18" s="7">
        <v>267</v>
      </c>
      <c r="R18" s="7">
        <v>265.74</v>
      </c>
      <c r="S18" s="7">
        <v>234.32</v>
      </c>
      <c r="T18" s="7">
        <v>189.713337</v>
      </c>
      <c r="U18" s="7">
        <v>178.956862</v>
      </c>
      <c r="V18" s="7">
        <v>162.613507</v>
      </c>
      <c r="W18" s="7">
        <v>141.94931600000001</v>
      </c>
      <c r="X18" s="7">
        <v>124.810712</v>
      </c>
      <c r="Y18" s="7">
        <v>103.929421</v>
      </c>
      <c r="Z18" s="7">
        <v>84.6</v>
      </c>
      <c r="AA18" s="7">
        <v>66.8</v>
      </c>
      <c r="AB18" s="7">
        <v>71.5</v>
      </c>
      <c r="AC18" s="7">
        <v>73.400000000000006</v>
      </c>
      <c r="AD18" s="7">
        <v>50.8</v>
      </c>
      <c r="AE18" s="7"/>
      <c r="AF18" s="1"/>
    </row>
    <row r="19" spans="1:32" x14ac:dyDescent="0.3">
      <c r="A19" s="106"/>
      <c r="B19" s="14">
        <v>18</v>
      </c>
      <c r="C19" s="1" t="s">
        <v>21</v>
      </c>
      <c r="D19" s="3"/>
      <c r="E19" s="3"/>
      <c r="F19" s="3"/>
      <c r="G19" s="3"/>
      <c r="H19" s="3">
        <v>70.36</v>
      </c>
      <c r="I19" s="3">
        <v>43.634999999999998</v>
      </c>
      <c r="J19" s="3">
        <v>37.140455000000003</v>
      </c>
      <c r="K19" s="3">
        <v>132.68975499999999</v>
      </c>
      <c r="L19" s="3">
        <v>103.47255199999999</v>
      </c>
      <c r="M19" s="3">
        <v>53.572794999999999</v>
      </c>
      <c r="N19" s="3">
        <v>93.401245000000003</v>
      </c>
      <c r="O19" s="3">
        <v>111.06298099999999</v>
      </c>
      <c r="P19" s="3">
        <v>130.31822299999999</v>
      </c>
      <c r="Q19" s="3">
        <v>158.07296199999999</v>
      </c>
      <c r="R19" s="3">
        <v>216.569219</v>
      </c>
      <c r="S19" s="3">
        <v>206.84360699999999</v>
      </c>
      <c r="T19" s="3">
        <v>144.131057</v>
      </c>
      <c r="U19" s="3">
        <v>159.80682899999999</v>
      </c>
      <c r="V19" s="3">
        <v>142.88537400000001</v>
      </c>
      <c r="W19" s="3">
        <v>128.15118100000001</v>
      </c>
      <c r="X19" s="3">
        <v>105.66083399999999</v>
      </c>
      <c r="Y19" s="3">
        <v>85.755072999999996</v>
      </c>
      <c r="Z19" s="3">
        <v>69.006073999999998</v>
      </c>
      <c r="AA19" s="3">
        <v>51.416916000000001</v>
      </c>
      <c r="AB19" s="3">
        <v>56.5</v>
      </c>
      <c r="AC19" s="3">
        <v>55.4</v>
      </c>
      <c r="AD19" s="3">
        <v>34.700000000000003</v>
      </c>
      <c r="AE19" s="3"/>
      <c r="AF19" s="1"/>
    </row>
    <row r="20" spans="1:32" x14ac:dyDescent="0.3">
      <c r="A20" s="106"/>
      <c r="B20" s="14">
        <v>17</v>
      </c>
      <c r="C20" s="6" t="s">
        <v>22</v>
      </c>
      <c r="D20" s="7"/>
      <c r="E20" s="7"/>
      <c r="F20" s="7"/>
      <c r="G20" s="7"/>
      <c r="H20" s="7">
        <v>27.64</v>
      </c>
      <c r="I20" s="7">
        <v>30.87</v>
      </c>
      <c r="J20" s="7">
        <v>33.546887599999998</v>
      </c>
      <c r="K20" s="7">
        <v>37.423428999999999</v>
      </c>
      <c r="L20" s="7">
        <v>30</v>
      </c>
      <c r="M20" s="7">
        <v>24.05</v>
      </c>
      <c r="N20" s="7">
        <v>46.895921000000001</v>
      </c>
      <c r="O20" s="7">
        <v>54.568615000000001</v>
      </c>
      <c r="P20" s="7">
        <v>67.648859999999999</v>
      </c>
      <c r="Q20" s="7">
        <v>26.667649000000001</v>
      </c>
      <c r="R20" s="7">
        <v>20.347249000000001</v>
      </c>
      <c r="S20" s="7">
        <v>16.366761</v>
      </c>
      <c r="T20" s="7">
        <v>17.467649999999999</v>
      </c>
      <c r="U20" s="7">
        <v>20.638667000000002</v>
      </c>
      <c r="V20" s="7">
        <v>16.717358999999998</v>
      </c>
      <c r="W20" s="7">
        <v>17.795358</v>
      </c>
      <c r="X20" s="7">
        <v>18.274864999999998</v>
      </c>
      <c r="Y20" s="7">
        <v>18.906694999999999</v>
      </c>
      <c r="Z20" s="7">
        <v>22.176599</v>
      </c>
      <c r="AA20" s="7">
        <v>33.800826000000001</v>
      </c>
      <c r="AB20" s="7">
        <v>64.3</v>
      </c>
      <c r="AC20" s="7">
        <v>92.5</v>
      </c>
      <c r="AD20" s="7">
        <v>67.7</v>
      </c>
      <c r="AE20" s="7"/>
      <c r="AF20" s="1"/>
    </row>
    <row r="21" spans="1:32" x14ac:dyDescent="0.3">
      <c r="A21" s="106"/>
      <c r="B21" s="14">
        <v>19</v>
      </c>
      <c r="C21" s="1" t="s">
        <v>88</v>
      </c>
      <c r="D21" s="3"/>
      <c r="E21" s="3"/>
      <c r="F21" s="3"/>
      <c r="G21" s="3"/>
      <c r="H21" s="3">
        <v>16.12</v>
      </c>
      <c r="I21" s="3">
        <v>16.260000000000002</v>
      </c>
      <c r="J21" s="3">
        <v>16.282430999999999</v>
      </c>
      <c r="K21" s="3">
        <v>16.278822999999999</v>
      </c>
      <c r="L21" s="3">
        <v>16.231574999999999</v>
      </c>
      <c r="M21" s="3">
        <v>10.847531999999999</v>
      </c>
      <c r="N21" s="3">
        <v>32.273077999999998</v>
      </c>
      <c r="O21" s="3">
        <v>36.204517000000003</v>
      </c>
      <c r="P21" s="3">
        <v>10.955909999999999</v>
      </c>
      <c r="Q21" s="3">
        <v>5.7852370000000004</v>
      </c>
      <c r="R21" s="3">
        <v>1.4971429999999999</v>
      </c>
      <c r="S21" s="3">
        <v>3.984721</v>
      </c>
      <c r="T21" s="3">
        <v>3.5658669999999999</v>
      </c>
      <c r="U21" s="3">
        <v>4.9892620000000001</v>
      </c>
      <c r="V21" s="3">
        <v>4.9010319999999998</v>
      </c>
      <c r="W21" s="3">
        <v>6.7730059999999996</v>
      </c>
      <c r="X21" s="3">
        <v>6.7684360000000003</v>
      </c>
      <c r="Y21" s="3">
        <v>6.7534419999999997</v>
      </c>
      <c r="Z21" s="3">
        <v>6.7756460000000001</v>
      </c>
      <c r="AA21" s="3">
        <v>6.9169939999999999</v>
      </c>
      <c r="AB21" s="3">
        <v>6.9</v>
      </c>
      <c r="AC21" s="3">
        <v>6.9</v>
      </c>
      <c r="AD21" s="3">
        <v>6.9</v>
      </c>
      <c r="AE21" s="3"/>
      <c r="AF21" s="1"/>
    </row>
    <row r="22" spans="1:32" x14ac:dyDescent="0.3">
      <c r="A22" s="106"/>
      <c r="B22" s="14">
        <v>20</v>
      </c>
      <c r="C22" s="6" t="s">
        <v>87</v>
      </c>
      <c r="D22" s="7"/>
      <c r="E22" s="7"/>
      <c r="F22" s="7"/>
      <c r="G22" s="7"/>
      <c r="H22" s="7">
        <v>1.56</v>
      </c>
      <c r="I22" s="7">
        <v>1.6870000000000001</v>
      </c>
      <c r="J22" s="7">
        <v>2.1</v>
      </c>
      <c r="K22" s="7">
        <v>5.7474400000000001</v>
      </c>
      <c r="L22" s="7">
        <v>1.044216</v>
      </c>
      <c r="M22" s="7">
        <v>0.69997600000000004</v>
      </c>
      <c r="N22" s="7">
        <v>2.392814</v>
      </c>
      <c r="O22" s="7">
        <v>2.4313669999999998</v>
      </c>
      <c r="P22" s="7">
        <v>17.715461999999999</v>
      </c>
      <c r="Q22" s="7">
        <v>7.8558649999999997</v>
      </c>
      <c r="R22" s="7">
        <v>6.1947530000000004</v>
      </c>
      <c r="S22" s="7">
        <v>1.684083</v>
      </c>
      <c r="T22" s="7">
        <v>0.59448000000000001</v>
      </c>
      <c r="U22" s="7">
        <v>0.44601600000000002</v>
      </c>
      <c r="V22" s="7">
        <v>0.27339799999999997</v>
      </c>
      <c r="W22" s="7">
        <v>0.26449600000000001</v>
      </c>
      <c r="X22" s="7">
        <v>0.40976899999999999</v>
      </c>
      <c r="Y22" s="7">
        <v>0.24957499999999999</v>
      </c>
      <c r="Z22" s="7">
        <v>0.327017</v>
      </c>
      <c r="AA22" s="7">
        <v>0.40429100000000001</v>
      </c>
      <c r="AB22" s="7">
        <v>0.5</v>
      </c>
      <c r="AC22" s="7">
        <v>0.4</v>
      </c>
      <c r="AD22" s="7">
        <v>1.3</v>
      </c>
      <c r="AE22" s="7"/>
      <c r="AF22" s="1"/>
    </row>
    <row r="23" spans="1:32" x14ac:dyDescent="0.3">
      <c r="A23" s="106"/>
      <c r="B23" s="14">
        <v>16</v>
      </c>
      <c r="C23" s="1" t="s">
        <v>20</v>
      </c>
      <c r="D23" s="3"/>
      <c r="E23" s="3"/>
      <c r="F23" s="3"/>
      <c r="G23" s="3"/>
      <c r="H23" s="3">
        <v>75.97</v>
      </c>
      <c r="I23" s="3">
        <v>92.02</v>
      </c>
      <c r="J23" s="3">
        <v>104.282038</v>
      </c>
      <c r="K23" s="3">
        <v>107.844629</v>
      </c>
      <c r="L23" s="3">
        <v>112.537729</v>
      </c>
      <c r="M23" s="3">
        <v>91.605545000000006</v>
      </c>
      <c r="N23" s="3">
        <v>63.267113999999999</v>
      </c>
      <c r="O23" s="3">
        <v>66.560111000000006</v>
      </c>
      <c r="P23" s="3">
        <v>78.640090000000001</v>
      </c>
      <c r="Q23" s="3">
        <v>91.220046999999994</v>
      </c>
      <c r="R23" s="3">
        <v>78.188243999999997</v>
      </c>
      <c r="S23" s="3">
        <v>87.368538000000001</v>
      </c>
      <c r="T23" s="3">
        <v>88.688644999999994</v>
      </c>
      <c r="U23" s="3">
        <v>77.397036999999997</v>
      </c>
      <c r="V23" s="3">
        <v>68.606896000000006</v>
      </c>
      <c r="W23" s="3">
        <v>67.717776000000001</v>
      </c>
      <c r="X23" s="3">
        <v>66.430491000000004</v>
      </c>
      <c r="Y23" s="3">
        <v>70.620552000000004</v>
      </c>
      <c r="Z23" s="3">
        <v>76.599999999999994</v>
      </c>
      <c r="AA23" s="3">
        <v>83.3</v>
      </c>
      <c r="AB23" s="3">
        <v>92.4</v>
      </c>
      <c r="AC23" s="3">
        <v>97.1</v>
      </c>
      <c r="AD23" s="3">
        <v>76.8</v>
      </c>
      <c r="AE23" s="3"/>
      <c r="AF23" s="1"/>
    </row>
    <row r="25" spans="1:32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</row>
    <row r="26" spans="1:32" x14ac:dyDescent="0.3">
      <c r="A26" s="6" t="s">
        <v>65</v>
      </c>
      <c r="B26" s="17" t="s">
        <v>27</v>
      </c>
      <c r="C26" s="6" t="s">
        <v>85</v>
      </c>
      <c r="D26" s="7">
        <f t="shared" ref="D26:AF26" si="0">D4*D5</f>
        <v>35.343000000000004</v>
      </c>
      <c r="E26" s="7">
        <f t="shared" si="0"/>
        <v>20.349</v>
      </c>
      <c r="F26" s="7">
        <f t="shared" si="0"/>
        <v>50.337000000000003</v>
      </c>
      <c r="G26" s="7">
        <f t="shared" si="0"/>
        <v>86.512999999999991</v>
      </c>
      <c r="H26" s="7">
        <f t="shared" si="0"/>
        <v>236.21500000000003</v>
      </c>
      <c r="I26" s="7">
        <f t="shared" si="0"/>
        <v>129.59100000000001</v>
      </c>
      <c r="J26" s="7">
        <f t="shared" si="0"/>
        <v>166.005</v>
      </c>
      <c r="K26" s="7">
        <f t="shared" si="0"/>
        <v>129.23400000000001</v>
      </c>
      <c r="L26" s="7">
        <f t="shared" si="0"/>
        <v>112.455</v>
      </c>
      <c r="M26" s="7">
        <f t="shared" si="0"/>
        <v>108.52799999999999</v>
      </c>
      <c r="N26" s="7">
        <f t="shared" si="0"/>
        <v>103.054</v>
      </c>
      <c r="O26" s="7">
        <f t="shared" si="0"/>
        <v>92.225000000000009</v>
      </c>
      <c r="P26" s="7">
        <f t="shared" si="0"/>
        <v>94.129000000000005</v>
      </c>
      <c r="Q26" s="7">
        <f t="shared" si="0"/>
        <v>117.57200000000002</v>
      </c>
      <c r="R26" s="7">
        <f t="shared" si="0"/>
        <v>104.72000000000001</v>
      </c>
      <c r="S26" s="7">
        <f t="shared" si="0"/>
        <v>87.822000000000003</v>
      </c>
      <c r="T26" s="7">
        <f t="shared" si="0"/>
        <v>72.709000000000003</v>
      </c>
      <c r="U26" s="7">
        <f t="shared" si="0"/>
        <v>28.321999999999999</v>
      </c>
      <c r="V26" s="7">
        <f t="shared" si="0"/>
        <v>13.923</v>
      </c>
      <c r="W26" s="7">
        <f t="shared" si="0"/>
        <v>14.28</v>
      </c>
      <c r="X26" s="7">
        <f t="shared" si="0"/>
        <v>11.781000000000001</v>
      </c>
      <c r="Y26" s="7">
        <f t="shared" si="0"/>
        <v>11.067</v>
      </c>
      <c r="Z26" s="7">
        <f t="shared" si="0"/>
        <v>29.469863930000002</v>
      </c>
      <c r="AA26" s="7">
        <f t="shared" si="0"/>
        <v>123.65488204</v>
      </c>
      <c r="AB26" s="7">
        <f t="shared" si="0"/>
        <v>114.5387424</v>
      </c>
      <c r="AC26" s="7">
        <f t="shared" si="0"/>
        <v>106.71100000000001</v>
      </c>
      <c r="AD26" s="7">
        <f t="shared" si="0"/>
        <v>59.655595000000005</v>
      </c>
      <c r="AE26" s="7">
        <f t="shared" si="0"/>
        <v>66.217710449999998</v>
      </c>
      <c r="AF26" s="7">
        <f t="shared" si="0"/>
        <v>68.603934250000009</v>
      </c>
    </row>
    <row r="27" spans="1:32" x14ac:dyDescent="0.3">
      <c r="A27" s="1" t="s">
        <v>66</v>
      </c>
      <c r="B27" s="2" t="s">
        <v>28</v>
      </c>
      <c r="C27" s="1" t="s">
        <v>47</v>
      </c>
      <c r="D27" s="30" t="e">
        <f t="shared" ref="D27:AC27" si="1">D26/D6</f>
        <v>#DIV/0!</v>
      </c>
      <c r="E27" s="30" t="e">
        <f t="shared" si="1"/>
        <v>#DIV/0!</v>
      </c>
      <c r="F27" s="30" t="e">
        <f t="shared" si="1"/>
        <v>#DIV/0!</v>
      </c>
      <c r="G27" s="30" t="e">
        <f t="shared" si="1"/>
        <v>#DIV/0!</v>
      </c>
      <c r="H27" s="30">
        <f t="shared" si="1"/>
        <v>3.0491157867561642</v>
      </c>
      <c r="I27" s="30">
        <f t="shared" si="1"/>
        <v>1.5130297723292472</v>
      </c>
      <c r="J27" s="30">
        <f t="shared" si="1"/>
        <v>1.7596459614161541</v>
      </c>
      <c r="K27" s="30">
        <f t="shared" si="1"/>
        <v>1.2662551440329219</v>
      </c>
      <c r="L27" s="30">
        <f t="shared" si="1"/>
        <v>1.0617977528089888</v>
      </c>
      <c r="M27" s="30">
        <f t="shared" si="1"/>
        <v>1.0987951807228915</v>
      </c>
      <c r="N27" s="30">
        <f t="shared" si="1"/>
        <v>0.99453773402817991</v>
      </c>
      <c r="O27" s="30">
        <f t="shared" si="1"/>
        <v>0.86895155306540395</v>
      </c>
      <c r="P27" s="30">
        <f t="shared" si="1"/>
        <v>0.70575224556510274</v>
      </c>
      <c r="Q27" s="30">
        <f t="shared" si="1"/>
        <v>0.77238207857049024</v>
      </c>
      <c r="R27" s="30">
        <f t="shared" si="1"/>
        <v>0.72114705904632581</v>
      </c>
      <c r="S27" s="30">
        <f t="shared" si="1"/>
        <v>0.67296551724137932</v>
      </c>
      <c r="T27" s="30">
        <f t="shared" si="1"/>
        <v>0.56772858592956987</v>
      </c>
      <c r="U27" s="30">
        <f t="shared" si="1"/>
        <v>0.23926088475671117</v>
      </c>
      <c r="V27" s="30">
        <f t="shared" si="1"/>
        <v>0.15621829603370466</v>
      </c>
      <c r="W27" s="30">
        <f t="shared" si="1"/>
        <v>0.17607807469525391</v>
      </c>
      <c r="X27" s="30">
        <f t="shared" si="1"/>
        <v>0.15007643312101912</v>
      </c>
      <c r="Y27" s="30">
        <f t="shared" si="1"/>
        <v>0.1269151376146789</v>
      </c>
      <c r="Z27" s="30">
        <f t="shared" si="1"/>
        <v>0.31859312356756758</v>
      </c>
      <c r="AA27" s="30">
        <f t="shared" si="1"/>
        <v>1.1947331598067634</v>
      </c>
      <c r="AB27" s="30">
        <f t="shared" si="1"/>
        <v>1.0692563704256908</v>
      </c>
      <c r="AC27" s="30">
        <f t="shared" si="1"/>
        <v>0.96136036036036043</v>
      </c>
      <c r="AD27" s="30">
        <f t="shared" ref="AD27" si="2">AD26/AD6</f>
        <v>0.80615668918918926</v>
      </c>
      <c r="AE27" s="30"/>
      <c r="AF27" s="1"/>
    </row>
    <row r="28" spans="1:32" x14ac:dyDescent="0.3">
      <c r="A28" s="6" t="s">
        <v>67</v>
      </c>
      <c r="B28" s="17" t="s">
        <v>29</v>
      </c>
      <c r="C28" s="6" t="s">
        <v>48</v>
      </c>
      <c r="D28" s="29" t="e">
        <f t="shared" ref="D28:AC28" si="3">D26/D7</f>
        <v>#DIV/0!</v>
      </c>
      <c r="E28" s="29" t="e">
        <f t="shared" si="3"/>
        <v>#DIV/0!</v>
      </c>
      <c r="F28" s="29" t="e">
        <f t="shared" si="3"/>
        <v>#DIV/0!</v>
      </c>
      <c r="G28" s="29" t="e">
        <f t="shared" si="3"/>
        <v>#DIV/0!</v>
      </c>
      <c r="H28" s="29">
        <f t="shared" si="3"/>
        <v>9.7569186286658418</v>
      </c>
      <c r="I28" s="29">
        <f t="shared" si="3"/>
        <v>4.5582483292296869</v>
      </c>
      <c r="J28" s="29">
        <f t="shared" si="3"/>
        <v>4.558072487644151</v>
      </c>
      <c r="K28" s="29">
        <f t="shared" si="3"/>
        <v>4.4764114998268099</v>
      </c>
      <c r="L28" s="29">
        <f t="shared" si="3"/>
        <v>3.8750861474844935</v>
      </c>
      <c r="M28" s="29">
        <f t="shared" si="3"/>
        <v>21.225894778016816</v>
      </c>
      <c r="N28" s="29">
        <f t="shared" si="3"/>
        <v>2.8834359261331839</v>
      </c>
      <c r="O28" s="29">
        <f t="shared" si="3"/>
        <v>2.6856435643564356</v>
      </c>
      <c r="P28" s="29">
        <f t="shared" si="3"/>
        <v>2.1397817685837692</v>
      </c>
      <c r="Q28" s="29">
        <f t="shared" si="3"/>
        <v>2.0690189177298728</v>
      </c>
      <c r="R28" s="29">
        <f t="shared" si="3"/>
        <v>2.8944168048645667</v>
      </c>
      <c r="S28" s="29">
        <f t="shared" si="3"/>
        <v>1.816466967404861</v>
      </c>
      <c r="T28" s="29">
        <f t="shared" si="3"/>
        <v>1.725925114281504</v>
      </c>
      <c r="U28" s="29">
        <f t="shared" si="3"/>
        <v>1.0466371027346637</v>
      </c>
      <c r="V28" s="29">
        <f t="shared" si="3"/>
        <v>0.68116438356164377</v>
      </c>
      <c r="W28" s="29">
        <f t="shared" si="3"/>
        <v>0.52307692307692299</v>
      </c>
      <c r="X28" s="29">
        <f t="shared" si="3"/>
        <v>0.45486486486486494</v>
      </c>
      <c r="Y28" s="29">
        <f t="shared" si="3"/>
        <v>0.37515254237288137</v>
      </c>
      <c r="Z28" s="29">
        <f t="shared" si="3"/>
        <v>0.95993042117263849</v>
      </c>
      <c r="AA28" s="29">
        <f t="shared" si="3"/>
        <v>3.5229311122507121</v>
      </c>
      <c r="AB28" s="29">
        <f t="shared" si="3"/>
        <v>3.1640536574585636</v>
      </c>
      <c r="AC28" s="29">
        <f t="shared" si="3"/>
        <v>3.1202046783625734</v>
      </c>
      <c r="AD28" s="29">
        <f t="shared" ref="AD28" si="4">AD26/AD7</f>
        <v>9.3211867187500008</v>
      </c>
      <c r="AE28" s="29"/>
      <c r="AF28" s="1"/>
    </row>
    <row r="29" spans="1:32" x14ac:dyDescent="0.3">
      <c r="A29" s="15" t="s">
        <v>68</v>
      </c>
      <c r="B29" s="2" t="s">
        <v>30</v>
      </c>
      <c r="C29" s="1" t="s">
        <v>49</v>
      </c>
      <c r="D29" s="3">
        <f t="shared" ref="D29:AC29" si="5">D15-D14</f>
        <v>0</v>
      </c>
      <c r="E29" s="3">
        <f t="shared" si="5"/>
        <v>0</v>
      </c>
      <c r="F29" s="3">
        <f t="shared" si="5"/>
        <v>0</v>
      </c>
      <c r="G29" s="3">
        <f t="shared" si="5"/>
        <v>0</v>
      </c>
      <c r="H29" s="3">
        <f t="shared" si="5"/>
        <v>49.1</v>
      </c>
      <c r="I29" s="3">
        <f t="shared" si="5"/>
        <v>37.840000000000003</v>
      </c>
      <c r="J29" s="3">
        <f t="shared" si="5"/>
        <v>40.61</v>
      </c>
      <c r="K29" s="3">
        <f t="shared" si="5"/>
        <v>173.86787700000002</v>
      </c>
      <c r="L29" s="3">
        <f t="shared" si="5"/>
        <v>117.405665</v>
      </c>
      <c r="M29" s="3">
        <f t="shared" si="5"/>
        <v>148.639048</v>
      </c>
      <c r="N29" s="3">
        <f t="shared" si="5"/>
        <v>150.23720800000001</v>
      </c>
      <c r="O29" s="3">
        <f t="shared" si="5"/>
        <v>175.67625800000002</v>
      </c>
      <c r="P29" s="3">
        <f t="shared" si="5"/>
        <v>209.45558299999999</v>
      </c>
      <c r="Q29" s="3">
        <f t="shared" si="5"/>
        <v>157.50945300000001</v>
      </c>
      <c r="R29" s="3">
        <f t="shared" si="5"/>
        <v>147.24464700000001</v>
      </c>
      <c r="S29" s="3">
        <f t="shared" si="5"/>
        <v>147.672043</v>
      </c>
      <c r="T29" s="3">
        <f t="shared" si="5"/>
        <v>122.95011199999999</v>
      </c>
      <c r="U29" s="3">
        <f t="shared" si="5"/>
        <v>114.69152800000001</v>
      </c>
      <c r="V29" s="3">
        <f t="shared" si="5"/>
        <v>110.24281300000001</v>
      </c>
      <c r="W29" s="3">
        <f t="shared" si="5"/>
        <v>90.245307000000011</v>
      </c>
      <c r="X29" s="3">
        <f t="shared" si="5"/>
        <v>73.954558000000006</v>
      </c>
      <c r="Y29" s="3">
        <f t="shared" si="5"/>
        <v>44.836354</v>
      </c>
      <c r="Z29" s="3">
        <f t="shared" si="5"/>
        <v>16.776611000000003</v>
      </c>
      <c r="AA29" s="3">
        <f t="shared" si="5"/>
        <v>-18.989408999999998</v>
      </c>
      <c r="AB29" s="3">
        <f t="shared" si="5"/>
        <v>-53.5</v>
      </c>
      <c r="AC29" s="3">
        <f t="shared" si="5"/>
        <v>-82.2</v>
      </c>
      <c r="AD29" s="3">
        <f t="shared" ref="AD29" si="6">AD15-AD14</f>
        <v>-51.6</v>
      </c>
      <c r="AE29" s="3"/>
      <c r="AF29" s="1"/>
    </row>
    <row r="30" spans="1:32" x14ac:dyDescent="0.3">
      <c r="A30" s="6" t="s">
        <v>69</v>
      </c>
      <c r="B30" s="17" t="s">
        <v>31</v>
      </c>
      <c r="C30" s="6" t="s">
        <v>50</v>
      </c>
      <c r="D30" s="7">
        <f t="shared" ref="D30:AC30" si="7">D26+D29+D16+D17</f>
        <v>35.343000000000004</v>
      </c>
      <c r="E30" s="7">
        <f t="shared" si="7"/>
        <v>20.349</v>
      </c>
      <c r="F30" s="7">
        <f t="shared" si="7"/>
        <v>50.337000000000003</v>
      </c>
      <c r="G30" s="7">
        <f t="shared" si="7"/>
        <v>86.512999999999991</v>
      </c>
      <c r="H30" s="7">
        <f t="shared" si="7"/>
        <v>285.64046700000006</v>
      </c>
      <c r="I30" s="7">
        <f t="shared" si="7"/>
        <v>167.43100000000001</v>
      </c>
      <c r="J30" s="7">
        <f t="shared" si="7"/>
        <v>206.61500000000001</v>
      </c>
      <c r="K30" s="7">
        <f t="shared" si="7"/>
        <v>303.10187700000006</v>
      </c>
      <c r="L30" s="7">
        <f t="shared" si="7"/>
        <v>231.02389299999999</v>
      </c>
      <c r="M30" s="7">
        <f t="shared" si="7"/>
        <v>258.09565800000001</v>
      </c>
      <c r="N30" s="7">
        <f t="shared" si="7"/>
        <v>254.17871500000001</v>
      </c>
      <c r="O30" s="7">
        <f t="shared" si="7"/>
        <v>268.88763000000006</v>
      </c>
      <c r="P30" s="7">
        <f t="shared" si="7"/>
        <v>303.58458300000001</v>
      </c>
      <c r="Q30" s="7">
        <f t="shared" si="7"/>
        <v>275.08145300000001</v>
      </c>
      <c r="R30" s="7">
        <f t="shared" si="7"/>
        <v>251.96464700000001</v>
      </c>
      <c r="S30" s="7">
        <f t="shared" si="7"/>
        <v>235.494043</v>
      </c>
      <c r="T30" s="7">
        <f t="shared" si="7"/>
        <v>195.65911199999999</v>
      </c>
      <c r="U30" s="7">
        <f t="shared" si="7"/>
        <v>143.01352800000001</v>
      </c>
      <c r="V30" s="7">
        <f t="shared" si="7"/>
        <v>124.16581300000001</v>
      </c>
      <c r="W30" s="7">
        <f t="shared" si="7"/>
        <v>104.52530700000001</v>
      </c>
      <c r="X30" s="7">
        <f t="shared" si="7"/>
        <v>85.735558000000012</v>
      </c>
      <c r="Y30" s="7">
        <f t="shared" si="7"/>
        <v>55.903354</v>
      </c>
      <c r="Z30" s="7">
        <f t="shared" si="7"/>
        <v>47.394639930000004</v>
      </c>
      <c r="AA30" s="7">
        <f t="shared" si="7"/>
        <v>107.93432304000001</v>
      </c>
      <c r="AB30" s="7">
        <f t="shared" si="7"/>
        <v>64.538742400000004</v>
      </c>
      <c r="AC30" s="7">
        <f t="shared" si="7"/>
        <v>31.01100000000001</v>
      </c>
      <c r="AD30" s="7">
        <f t="shared" ref="AD30" si="8">AD26+AD29+AD16+AD17</f>
        <v>15.855595000000005</v>
      </c>
      <c r="AE30" s="7"/>
      <c r="AF30" s="1"/>
    </row>
    <row r="31" spans="1:32" x14ac:dyDescent="0.3">
      <c r="A31" s="1" t="s">
        <v>70</v>
      </c>
      <c r="B31" s="2" t="s">
        <v>32</v>
      </c>
      <c r="C31" s="1" t="s">
        <v>51</v>
      </c>
      <c r="D31" s="30" t="e">
        <f t="shared" ref="D31:AC31" si="9">D30/D7</f>
        <v>#DIV/0!</v>
      </c>
      <c r="E31" s="30" t="e">
        <f t="shared" si="9"/>
        <v>#DIV/0!</v>
      </c>
      <c r="F31" s="30" t="e">
        <f t="shared" si="9"/>
        <v>#DIV/0!</v>
      </c>
      <c r="G31" s="30" t="e">
        <f t="shared" si="9"/>
        <v>#DIV/0!</v>
      </c>
      <c r="H31" s="30">
        <f t="shared" si="9"/>
        <v>11.798449690210658</v>
      </c>
      <c r="I31" s="30">
        <f t="shared" si="9"/>
        <v>5.8892367217727761</v>
      </c>
      <c r="J31" s="30">
        <f t="shared" si="9"/>
        <v>5.6731191652937945</v>
      </c>
      <c r="K31" s="30">
        <f t="shared" si="9"/>
        <v>10.498852684447526</v>
      </c>
      <c r="L31" s="30">
        <f t="shared" si="9"/>
        <v>7.960850895933838</v>
      </c>
      <c r="M31" s="30">
        <f t="shared" si="9"/>
        <v>50.478321533346367</v>
      </c>
      <c r="N31" s="30">
        <f t="shared" si="9"/>
        <v>7.111883463905988</v>
      </c>
      <c r="O31" s="30">
        <f t="shared" si="9"/>
        <v>7.8301581246359939</v>
      </c>
      <c r="P31" s="30">
        <f t="shared" si="9"/>
        <v>6.901218072289157</v>
      </c>
      <c r="Q31" s="30">
        <f t="shared" si="9"/>
        <v>4.840852670479542</v>
      </c>
      <c r="R31" s="30">
        <f t="shared" si="9"/>
        <v>6.9641969872857938</v>
      </c>
      <c r="S31" s="30">
        <f t="shared" si="9"/>
        <v>4.8708427288164691</v>
      </c>
      <c r="T31" s="30">
        <f t="shared" si="9"/>
        <v>4.6444453264220051</v>
      </c>
      <c r="U31" s="30">
        <f t="shared" si="9"/>
        <v>5.2850527716186262</v>
      </c>
      <c r="V31" s="30">
        <f t="shared" si="9"/>
        <v>6.0746483855185911</v>
      </c>
      <c r="W31" s="30">
        <f t="shared" si="9"/>
        <v>3.8287658241758247</v>
      </c>
      <c r="X31" s="30">
        <f t="shared" si="9"/>
        <v>3.3102532046332054</v>
      </c>
      <c r="Y31" s="30">
        <f t="shared" si="9"/>
        <v>1.8950289491525423</v>
      </c>
      <c r="Z31" s="30">
        <f t="shared" si="9"/>
        <v>1.5437993462540718</v>
      </c>
      <c r="AA31" s="30">
        <f t="shared" si="9"/>
        <v>3.0750519384615385</v>
      </c>
      <c r="AB31" s="30">
        <f t="shared" si="9"/>
        <v>1.7828381878453039</v>
      </c>
      <c r="AC31" s="30">
        <f t="shared" si="9"/>
        <v>0.90675438596491253</v>
      </c>
      <c r="AD31" s="30">
        <f t="shared" ref="AD31" si="10">AD30/AD7</f>
        <v>2.4774367187500004</v>
      </c>
      <c r="AE31" s="30"/>
      <c r="AF31" s="1"/>
    </row>
    <row r="32" spans="1:32" x14ac:dyDescent="0.3">
      <c r="A32" s="18" t="s">
        <v>72</v>
      </c>
      <c r="B32" s="17" t="s">
        <v>33</v>
      </c>
      <c r="C32" s="6" t="s">
        <v>109</v>
      </c>
      <c r="D32" s="27" t="e">
        <f t="shared" ref="D32:AC32" si="11">D7/D6</f>
        <v>#DIV/0!</v>
      </c>
      <c r="E32" s="27" t="e">
        <f t="shared" si="11"/>
        <v>#DIV/0!</v>
      </c>
      <c r="F32" s="27" t="e">
        <f t="shared" si="11"/>
        <v>#DIV/0!</v>
      </c>
      <c r="G32" s="27" t="e">
        <f t="shared" si="11"/>
        <v>#DIV/0!</v>
      </c>
      <c r="H32" s="27">
        <f t="shared" si="11"/>
        <v>0.31250806763908612</v>
      </c>
      <c r="I32" s="27">
        <f t="shared" si="11"/>
        <v>0.33193228254524232</v>
      </c>
      <c r="J32" s="27">
        <f t="shared" si="11"/>
        <v>0.38605045579817682</v>
      </c>
      <c r="K32" s="27">
        <f t="shared" si="11"/>
        <v>0.28287281990985697</v>
      </c>
      <c r="L32" s="27">
        <f t="shared" si="11"/>
        <v>0.27400623170616561</v>
      </c>
      <c r="M32" s="27">
        <f t="shared" si="11"/>
        <v>5.1766730788701032E-2</v>
      </c>
      <c r="N32" s="27">
        <f t="shared" si="11"/>
        <v>0.34491410924531946</v>
      </c>
      <c r="O32" s="27">
        <f t="shared" si="11"/>
        <v>0.32355431100315502</v>
      </c>
      <c r="P32" s="27">
        <f t="shared" si="11"/>
        <v>0.32982440355691517</v>
      </c>
      <c r="Q32" s="27">
        <f t="shared" si="11"/>
        <v>0.3733083694652477</v>
      </c>
      <c r="R32" s="27">
        <f t="shared" si="11"/>
        <v>0.24915107521291124</v>
      </c>
      <c r="S32" s="27">
        <f t="shared" si="11"/>
        <v>0.37048045977011496</v>
      </c>
      <c r="T32" s="27">
        <f t="shared" si="11"/>
        <v>0.32894161005700012</v>
      </c>
      <c r="U32" s="27">
        <f t="shared" si="11"/>
        <v>0.22859965897594112</v>
      </c>
      <c r="V32" s="27">
        <f t="shared" si="11"/>
        <v>0.22934008266386005</v>
      </c>
      <c r="W32" s="27">
        <f t="shared" si="11"/>
        <v>0.3366198486821031</v>
      </c>
      <c r="X32" s="27">
        <f t="shared" si="11"/>
        <v>0.32993630573248406</v>
      </c>
      <c r="Y32" s="27">
        <f t="shared" si="11"/>
        <v>0.33830275229357798</v>
      </c>
      <c r="Z32" s="27">
        <f t="shared" si="11"/>
        <v>0.33189189189189189</v>
      </c>
      <c r="AA32" s="27">
        <f t="shared" si="11"/>
        <v>0.33913043478260874</v>
      </c>
      <c r="AB32" s="27">
        <f t="shared" si="11"/>
        <v>0.33793876026885739</v>
      </c>
      <c r="AC32" s="27">
        <f t="shared" si="11"/>
        <v>0.30810810810810813</v>
      </c>
      <c r="AD32" s="27">
        <f t="shared" ref="AD32" si="12">AD7/AD6</f>
        <v>8.6486486486486491E-2</v>
      </c>
      <c r="AE32" s="27"/>
      <c r="AF32" s="1"/>
    </row>
    <row r="33" spans="1:32" x14ac:dyDescent="0.3">
      <c r="A33" s="16" t="s">
        <v>73</v>
      </c>
      <c r="B33" s="2" t="s">
        <v>34</v>
      </c>
      <c r="C33" s="1" t="s">
        <v>110</v>
      </c>
      <c r="D33" s="28" t="e">
        <f t="shared" ref="D33:AC33" si="13">D8/D6</f>
        <v>#DIV/0!</v>
      </c>
      <c r="E33" s="28" t="e">
        <f t="shared" si="13"/>
        <v>#DIV/0!</v>
      </c>
      <c r="F33" s="28" t="e">
        <f t="shared" si="13"/>
        <v>#DIV/0!</v>
      </c>
      <c r="G33" s="28" t="e">
        <f t="shared" si="13"/>
        <v>#DIV/0!</v>
      </c>
      <c r="H33" s="28">
        <f t="shared" si="13"/>
        <v>0.13669807667484188</v>
      </c>
      <c r="I33" s="28">
        <f t="shared" si="13"/>
        <v>0.1388207822533567</v>
      </c>
      <c r="J33" s="28">
        <f t="shared" si="13"/>
        <v>0.13292988128047487</v>
      </c>
      <c r="K33" s="28">
        <f t="shared" si="13"/>
        <v>0.11648857534783461</v>
      </c>
      <c r="L33" s="28">
        <f t="shared" si="13"/>
        <v>0.10541267113587008</v>
      </c>
      <c r="M33" s="28">
        <f t="shared" si="13"/>
        <v>-0.13904351523742028</v>
      </c>
      <c r="N33" s="28">
        <f t="shared" si="13"/>
        <v>9.8701949430611849E-2</v>
      </c>
      <c r="O33" s="28">
        <f t="shared" si="13"/>
        <v>0.11891042096451032</v>
      </c>
      <c r="P33" s="28">
        <f t="shared" si="13"/>
        <v>0.13470634456490771</v>
      </c>
      <c r="Q33" s="28">
        <f t="shared" si="13"/>
        <v>0.17746183155958481</v>
      </c>
      <c r="R33" s="28">
        <f t="shared" si="13"/>
        <v>3.3510688773946702E-2</v>
      </c>
      <c r="S33" s="28">
        <f t="shared" si="13"/>
        <v>0.1244127203065134</v>
      </c>
      <c r="T33" s="28">
        <f t="shared" si="13"/>
        <v>8.2292308893573821E-2</v>
      </c>
      <c r="U33" s="28">
        <f t="shared" si="13"/>
        <v>-1.2328685421863522E-2</v>
      </c>
      <c r="V33" s="28">
        <f t="shared" si="13"/>
        <v>-1.8543335020396682E-3</v>
      </c>
      <c r="W33" s="28">
        <f t="shared" si="13"/>
        <v>8.7181926764418521E-2</v>
      </c>
      <c r="X33" s="28">
        <f t="shared" si="13"/>
        <v>6.405826751592357E-2</v>
      </c>
      <c r="Y33" s="28">
        <f t="shared" si="13"/>
        <v>9.7477064220183485E-2</v>
      </c>
      <c r="Z33" s="28">
        <f t="shared" si="13"/>
        <v>0.11135135135135137</v>
      </c>
      <c r="AA33" s="28">
        <f t="shared" si="13"/>
        <v>0.14879227053140098</v>
      </c>
      <c r="AB33" s="28">
        <f t="shared" si="13"/>
        <v>0.15683345780433158</v>
      </c>
      <c r="AC33" s="28">
        <f t="shared" si="13"/>
        <v>0.13423423423423425</v>
      </c>
      <c r="AD33" s="28">
        <f t="shared" ref="AD33" si="14">AD8/AD6</f>
        <v>-0.16891891891891891</v>
      </c>
      <c r="AE33" s="28"/>
      <c r="AF33" s="1"/>
    </row>
    <row r="34" spans="1:32" x14ac:dyDescent="0.3">
      <c r="A34" s="18" t="s">
        <v>74</v>
      </c>
      <c r="B34" s="17" t="s">
        <v>35</v>
      </c>
      <c r="C34" s="6" t="s">
        <v>54</v>
      </c>
      <c r="D34" s="27" t="e">
        <f t="shared" ref="D34:AC34" si="15">D11/D10</f>
        <v>#DIV/0!</v>
      </c>
      <c r="E34" s="27" t="e">
        <f t="shared" si="15"/>
        <v>#DIV/0!</v>
      </c>
      <c r="F34" s="27" t="e">
        <f t="shared" si="15"/>
        <v>#DIV/0!</v>
      </c>
      <c r="G34" s="27" t="e">
        <f t="shared" si="15"/>
        <v>#DIV/0!</v>
      </c>
      <c r="H34" s="27">
        <f t="shared" si="15"/>
        <v>5.8650519031141872E-2</v>
      </c>
      <c r="I34" s="27">
        <f t="shared" si="15"/>
        <v>1.955366631243358E-2</v>
      </c>
      <c r="J34" s="27">
        <f t="shared" si="15"/>
        <v>6.6851423904922417E-3</v>
      </c>
      <c r="K34" s="27">
        <f t="shared" si="15"/>
        <v>1.6112048400450496E-3</v>
      </c>
      <c r="L34" s="27">
        <f t="shared" si="15"/>
        <v>7.3853428576243184E-3</v>
      </c>
      <c r="M34" s="27">
        <f t="shared" si="15"/>
        <v>-6.6985041365062693E-4</v>
      </c>
      <c r="N34" s="27">
        <f t="shared" si="15"/>
        <v>0</v>
      </c>
      <c r="O34" s="27">
        <f t="shared" si="15"/>
        <v>-0.2296940199472923</v>
      </c>
      <c r="P34" s="27">
        <f t="shared" si="15"/>
        <v>1.3641863583377458E-2</v>
      </c>
      <c r="Q34" s="27">
        <f t="shared" si="15"/>
        <v>0</v>
      </c>
      <c r="R34" s="27">
        <f t="shared" si="15"/>
        <v>-5.3870900602124173E-3</v>
      </c>
      <c r="S34" s="27">
        <f t="shared" si="15"/>
        <v>0</v>
      </c>
      <c r="T34" s="27">
        <f t="shared" si="15"/>
        <v>1.3883428716345124E-2</v>
      </c>
      <c r="U34" s="27">
        <f t="shared" si="15"/>
        <v>-5.486506650139846E-3</v>
      </c>
      <c r="V34" s="27">
        <f t="shared" si="15"/>
        <v>-1.3955469549984625E-2</v>
      </c>
      <c r="W34" s="27">
        <f t="shared" si="15"/>
        <v>-0.17043837466612782</v>
      </c>
      <c r="X34" s="27">
        <f t="shared" si="15"/>
        <v>-0.12880748116575952</v>
      </c>
      <c r="Y34" s="27">
        <f t="shared" si="15"/>
        <v>2.3255813953488375E-2</v>
      </c>
      <c r="Z34" s="27">
        <f t="shared" si="15"/>
        <v>1.3157894736842106E-2</v>
      </c>
      <c r="AA34" s="27">
        <f t="shared" si="15"/>
        <v>7.1428571428571435E-3</v>
      </c>
      <c r="AB34" s="27">
        <f t="shared" si="15"/>
        <v>6.17283950617284E-3</v>
      </c>
      <c r="AC34" s="27">
        <f t="shared" si="15"/>
        <v>6.8493150684931512E-3</v>
      </c>
      <c r="AD34" s="27">
        <f t="shared" ref="AD34" si="16">AD11/AD10</f>
        <v>-7.8125E-3</v>
      </c>
      <c r="AE34" s="27"/>
      <c r="AF34" s="1"/>
    </row>
    <row r="35" spans="1:32" x14ac:dyDescent="0.3">
      <c r="A35" s="16" t="s">
        <v>75</v>
      </c>
      <c r="B35" s="2" t="s">
        <v>36</v>
      </c>
      <c r="C35" s="1" t="s">
        <v>108</v>
      </c>
      <c r="D35" s="28" t="e">
        <f t="shared" ref="D35:AC35" si="17">D12/D6</f>
        <v>#DIV/0!</v>
      </c>
      <c r="E35" s="28" t="e">
        <f t="shared" si="17"/>
        <v>#DIV/0!</v>
      </c>
      <c r="F35" s="28" t="e">
        <f t="shared" si="17"/>
        <v>#DIV/0!</v>
      </c>
      <c r="G35" s="28" t="e">
        <f t="shared" si="17"/>
        <v>#DIV/0!</v>
      </c>
      <c r="H35" s="28">
        <f t="shared" si="17"/>
        <v>7.0169097715244613E-2</v>
      </c>
      <c r="I35" s="28">
        <f t="shared" si="17"/>
        <v>9.3099824868651496E-2</v>
      </c>
      <c r="J35" s="28">
        <f t="shared" si="17"/>
        <v>9.6956964172143306E-2</v>
      </c>
      <c r="K35" s="28">
        <f t="shared" si="17"/>
        <v>9.8576278659611993E-2</v>
      </c>
      <c r="L35" s="28">
        <f t="shared" si="17"/>
        <v>9.5106439429704467E-2</v>
      </c>
      <c r="M35" s="28">
        <f t="shared" si="17"/>
        <v>-0.2139243292497722</v>
      </c>
      <c r="N35" s="28">
        <f t="shared" si="17"/>
        <v>-6.8745705462265961E-3</v>
      </c>
      <c r="O35" s="28">
        <f t="shared" si="17"/>
        <v>3.0013864594311039E-2</v>
      </c>
      <c r="P35" s="28">
        <f t="shared" si="17"/>
        <v>0.14301032435107291</v>
      </c>
      <c r="Q35" s="28">
        <f t="shared" si="17"/>
        <v>0.10755779135461832</v>
      </c>
      <c r="R35" s="28">
        <f t="shared" si="17"/>
        <v>-6.1652488652883253E-2</v>
      </c>
      <c r="S35" s="28">
        <f t="shared" si="17"/>
        <v>7.047832950191571E-2</v>
      </c>
      <c r="T35" s="28">
        <f t="shared" si="17"/>
        <v>3.3597923010853438E-2</v>
      </c>
      <c r="U35" s="28">
        <f t="shared" si="17"/>
        <v>-7.0191981474134968E-2</v>
      </c>
      <c r="V35" s="28">
        <f t="shared" si="17"/>
        <v>-0.10082610227643146</v>
      </c>
      <c r="W35" s="28">
        <f t="shared" si="17"/>
        <v>-1.0963202925283206E-2</v>
      </c>
      <c r="X35" s="28">
        <f t="shared" si="17"/>
        <v>-2.2118254777070065E-2</v>
      </c>
      <c r="Y35" s="28">
        <f t="shared" si="17"/>
        <v>4.8119988532110088E-2</v>
      </c>
      <c r="Z35" s="28">
        <f t="shared" si="17"/>
        <v>7.0864205405405403E-2</v>
      </c>
      <c r="AA35" s="28">
        <f t="shared" si="17"/>
        <v>0.10314017391304348</v>
      </c>
      <c r="AB35" s="28">
        <f t="shared" si="17"/>
        <v>0.12882748319641524</v>
      </c>
      <c r="AC35" s="28">
        <f t="shared" si="17"/>
        <v>8.9189189189189194E-2</v>
      </c>
      <c r="AD35" s="28">
        <f t="shared" ref="AD35" si="18">AD12/AD6</f>
        <v>-0.27432432432432435</v>
      </c>
      <c r="AE35" s="28"/>
      <c r="AF35" s="1"/>
    </row>
    <row r="36" spans="1:32" x14ac:dyDescent="0.3">
      <c r="A36" s="18" t="s">
        <v>76</v>
      </c>
      <c r="B36" s="17" t="s">
        <v>37</v>
      </c>
      <c r="C36" s="6" t="s">
        <v>56</v>
      </c>
      <c r="D36" s="29" t="e">
        <f t="shared" ref="D36:G36" si="19">D26/D12</f>
        <v>#DIV/0!</v>
      </c>
      <c r="E36" s="29" t="e">
        <f t="shared" si="19"/>
        <v>#DIV/0!</v>
      </c>
      <c r="F36" s="29" t="e">
        <f t="shared" si="19"/>
        <v>#DIV/0!</v>
      </c>
      <c r="G36" s="29" t="e">
        <f t="shared" si="19"/>
        <v>#DIV/0!</v>
      </c>
      <c r="H36" s="29">
        <f t="shared" ref="H36:AC36" si="20">IF(H26/H12&lt;0,0,H26/H12)</f>
        <v>43.453826342899198</v>
      </c>
      <c r="I36" s="29">
        <f t="shared" si="20"/>
        <v>16.251693002257337</v>
      </c>
      <c r="J36" s="29">
        <f t="shared" si="20"/>
        <v>18.148732032203188</v>
      </c>
      <c r="K36" s="29">
        <f t="shared" si="20"/>
        <v>12.845434634485986</v>
      </c>
      <c r="L36" s="29">
        <f t="shared" si="20"/>
        <v>11.164309789914803</v>
      </c>
      <c r="M36" s="29">
        <f t="shared" si="20"/>
        <v>0</v>
      </c>
      <c r="N36" s="29">
        <f t="shared" si="20"/>
        <v>0</v>
      </c>
      <c r="O36" s="29">
        <f t="shared" si="20"/>
        <v>28.951671662772441</v>
      </c>
      <c r="P36" s="29">
        <f t="shared" si="20"/>
        <v>4.9349740920282574</v>
      </c>
      <c r="Q36" s="29">
        <f t="shared" si="20"/>
        <v>7.1810890577321773</v>
      </c>
      <c r="R36" s="29">
        <f t="shared" si="20"/>
        <v>0</v>
      </c>
      <c r="S36" s="29">
        <f t="shared" si="20"/>
        <v>9.5485452336535186</v>
      </c>
      <c r="T36" s="29">
        <f t="shared" si="20"/>
        <v>16.897728640730897</v>
      </c>
      <c r="U36" s="29">
        <f t="shared" si="20"/>
        <v>0</v>
      </c>
      <c r="V36" s="29">
        <f t="shared" si="20"/>
        <v>0</v>
      </c>
      <c r="W36" s="29">
        <f t="shared" si="20"/>
        <v>0</v>
      </c>
      <c r="X36" s="29">
        <f t="shared" si="20"/>
        <v>0</v>
      </c>
      <c r="Y36" s="29">
        <f t="shared" si="20"/>
        <v>2.6374723163117428</v>
      </c>
      <c r="Z36" s="29">
        <f t="shared" si="20"/>
        <v>4.4958258086002028</v>
      </c>
      <c r="AA36" s="29">
        <f t="shared" si="20"/>
        <v>11.583586826351793</v>
      </c>
      <c r="AB36" s="29">
        <f t="shared" si="20"/>
        <v>8.2999088695652166</v>
      </c>
      <c r="AC36" s="29">
        <f t="shared" si="20"/>
        <v>10.77888888888889</v>
      </c>
      <c r="AD36" s="29">
        <f t="shared" ref="AD36" si="21">IF(AD26/AD12&lt;0,0,AD26/AD12)</f>
        <v>0</v>
      </c>
      <c r="AE36" s="29"/>
      <c r="AF36" s="1"/>
    </row>
    <row r="37" spans="1:32" x14ac:dyDescent="0.3">
      <c r="A37" s="16" t="s">
        <v>77</v>
      </c>
      <c r="B37" s="2" t="s">
        <v>38</v>
      </c>
      <c r="C37" s="1" t="s">
        <v>57</v>
      </c>
      <c r="D37" s="30" t="e">
        <f t="shared" ref="D37:AC37" si="22">D26/D23</f>
        <v>#DIV/0!</v>
      </c>
      <c r="E37" s="30" t="e">
        <f t="shared" si="22"/>
        <v>#DIV/0!</v>
      </c>
      <c r="F37" s="30" t="e">
        <f t="shared" si="22"/>
        <v>#DIV/0!</v>
      </c>
      <c r="G37" s="30" t="e">
        <f t="shared" si="22"/>
        <v>#DIV/0!</v>
      </c>
      <c r="H37" s="30">
        <f t="shared" si="22"/>
        <v>3.1093194682111363</v>
      </c>
      <c r="I37" s="30">
        <f t="shared" si="22"/>
        <v>1.4082916757226691</v>
      </c>
      <c r="J37" s="30">
        <f t="shared" si="22"/>
        <v>1.5918848843364568</v>
      </c>
      <c r="K37" s="30">
        <f t="shared" si="22"/>
        <v>1.1983350603394445</v>
      </c>
      <c r="L37" s="30">
        <f t="shared" si="22"/>
        <v>0.99926487764827743</v>
      </c>
      <c r="M37" s="30">
        <f t="shared" si="22"/>
        <v>1.1847317757893365</v>
      </c>
      <c r="N37" s="30">
        <f t="shared" si="22"/>
        <v>1.6288715176734632</v>
      </c>
      <c r="O37" s="30">
        <f t="shared" si="22"/>
        <v>1.3855896364115139</v>
      </c>
      <c r="P37" s="30">
        <f t="shared" si="22"/>
        <v>1.1969594643139396</v>
      </c>
      <c r="Q37" s="30">
        <f t="shared" si="22"/>
        <v>1.2888833525814782</v>
      </c>
      <c r="R37" s="30">
        <f t="shared" si="22"/>
        <v>1.339331779851713</v>
      </c>
      <c r="S37" s="30">
        <f t="shared" si="22"/>
        <v>1.0051902207634515</v>
      </c>
      <c r="T37" s="30">
        <f t="shared" si="22"/>
        <v>0.81982310136771186</v>
      </c>
      <c r="U37" s="30">
        <f t="shared" si="22"/>
        <v>0.36593132111762883</v>
      </c>
      <c r="V37" s="30">
        <f t="shared" si="22"/>
        <v>0.20293878329665285</v>
      </c>
      <c r="W37" s="30">
        <f t="shared" si="22"/>
        <v>0.21087520653365815</v>
      </c>
      <c r="X37" s="30">
        <f t="shared" si="22"/>
        <v>0.17734326244856446</v>
      </c>
      <c r="Y37" s="30">
        <f t="shared" si="22"/>
        <v>0.15671075468229134</v>
      </c>
      <c r="Z37" s="30">
        <f t="shared" si="22"/>
        <v>0.38472407219321153</v>
      </c>
      <c r="AA37" s="30">
        <f t="shared" si="22"/>
        <v>1.4844523654261705</v>
      </c>
      <c r="AB37" s="30">
        <f t="shared" si="22"/>
        <v>1.2395967792207792</v>
      </c>
      <c r="AC37" s="30">
        <f t="shared" si="22"/>
        <v>1.0989804325437695</v>
      </c>
      <c r="AD37" s="30">
        <f t="shared" ref="AD37" si="23">AD26/AD23</f>
        <v>0.7767655598958334</v>
      </c>
      <c r="AE37" s="30"/>
      <c r="AF37" s="1"/>
    </row>
    <row r="38" spans="1:32" x14ac:dyDescent="0.3">
      <c r="A38" s="18" t="s">
        <v>78</v>
      </c>
      <c r="B38" s="17" t="s">
        <v>39</v>
      </c>
      <c r="C38" s="6" t="s">
        <v>106</v>
      </c>
      <c r="D38" s="55" t="e">
        <f t="shared" ref="D38:AC38" si="24">D8/D23</f>
        <v>#DIV/0!</v>
      </c>
      <c r="E38" s="55" t="e">
        <f t="shared" si="24"/>
        <v>#DIV/0!</v>
      </c>
      <c r="F38" s="55" t="e">
        <f t="shared" si="24"/>
        <v>#DIV/0!</v>
      </c>
      <c r="G38" s="55" t="e">
        <f t="shared" si="24"/>
        <v>#DIV/0!</v>
      </c>
      <c r="H38" s="55">
        <f t="shared" si="24"/>
        <v>0.13939713044622878</v>
      </c>
      <c r="I38" s="55">
        <f t="shared" si="24"/>
        <v>0.12921104107802653</v>
      </c>
      <c r="J38" s="55">
        <f t="shared" si="24"/>
        <v>0.12025661600514558</v>
      </c>
      <c r="K38" s="55">
        <f t="shared" si="24"/>
        <v>0.1102402976415265</v>
      </c>
      <c r="L38" s="55">
        <f t="shared" si="24"/>
        <v>9.9204560987719945E-2</v>
      </c>
      <c r="M38" s="55">
        <f t="shared" si="24"/>
        <v>-0.14991808629051875</v>
      </c>
      <c r="N38" s="55">
        <f t="shared" si="24"/>
        <v>0.16165580114812889</v>
      </c>
      <c r="O38" s="55">
        <f t="shared" si="24"/>
        <v>0.18960901372294886</v>
      </c>
      <c r="P38" s="55">
        <f t="shared" si="24"/>
        <v>0.22846265816837188</v>
      </c>
      <c r="Q38" s="55">
        <f t="shared" si="24"/>
        <v>0.29613271302085603</v>
      </c>
      <c r="R38" s="55">
        <f t="shared" si="24"/>
        <v>6.2236862615817283E-2</v>
      </c>
      <c r="S38" s="55">
        <f t="shared" si="24"/>
        <v>0.18583188378406879</v>
      </c>
      <c r="T38" s="55">
        <f t="shared" si="24"/>
        <v>0.11883343126958361</v>
      </c>
      <c r="U38" s="55">
        <f t="shared" si="24"/>
        <v>-1.8855786430170447E-2</v>
      </c>
      <c r="V38" s="55">
        <f t="shared" si="24"/>
        <v>-2.40891236356182E-3</v>
      </c>
      <c r="W38" s="55">
        <f t="shared" si="24"/>
        <v>0.10441110765362406</v>
      </c>
      <c r="X38" s="55">
        <f t="shared" si="24"/>
        <v>7.5696776048215564E-2</v>
      </c>
      <c r="Y38" s="55">
        <f t="shared" si="24"/>
        <v>0.12036156273601485</v>
      </c>
      <c r="Z38" s="55">
        <f t="shared" si="24"/>
        <v>0.13446475195822455</v>
      </c>
      <c r="AA38" s="55">
        <f t="shared" si="24"/>
        <v>0.18487394957983194</v>
      </c>
      <c r="AB38" s="55">
        <f t="shared" si="24"/>
        <v>0.18181818181818182</v>
      </c>
      <c r="AC38" s="55">
        <f t="shared" si="24"/>
        <v>0.15345005149330587</v>
      </c>
      <c r="AD38" s="55">
        <f t="shared" ref="AD38" si="25">AD8/AD23</f>
        <v>-0.16276041666666669</v>
      </c>
      <c r="AE38" s="55"/>
      <c r="AF38" s="1"/>
    </row>
    <row r="39" spans="1:32" x14ac:dyDescent="0.3">
      <c r="A39" s="16" t="s">
        <v>79</v>
      </c>
      <c r="B39" s="2" t="s">
        <v>40</v>
      </c>
      <c r="C39" s="1" t="s">
        <v>107</v>
      </c>
      <c r="D39" s="56" t="e">
        <f t="shared" ref="D39:AC39" si="26">D12/D23</f>
        <v>#DIV/0!</v>
      </c>
      <c r="E39" s="56" t="e">
        <f t="shared" si="26"/>
        <v>#DIV/0!</v>
      </c>
      <c r="F39" s="56" t="e">
        <f t="shared" si="26"/>
        <v>#DIV/0!</v>
      </c>
      <c r="G39" s="56" t="e">
        <f t="shared" si="26"/>
        <v>#DIV/0!</v>
      </c>
      <c r="H39" s="56">
        <f t="shared" si="26"/>
        <v>7.155456101092536E-2</v>
      </c>
      <c r="I39" s="56">
        <f t="shared" si="26"/>
        <v>8.6655074983699204E-2</v>
      </c>
      <c r="J39" s="56">
        <f t="shared" si="26"/>
        <v>8.7713283854310556E-2</v>
      </c>
      <c r="K39" s="56">
        <f t="shared" si="26"/>
        <v>9.3288790487656092E-2</v>
      </c>
      <c r="L39" s="56">
        <f t="shared" si="26"/>
        <v>8.9505298263127378E-2</v>
      </c>
      <c r="M39" s="56">
        <f t="shared" si="26"/>
        <v>-0.23065531677149018</v>
      </c>
      <c r="N39" s="56">
        <f t="shared" si="26"/>
        <v>-1.1259293414268904E-2</v>
      </c>
      <c r="O39" s="56">
        <f t="shared" si="26"/>
        <v>4.7858709250049168E-2</v>
      </c>
      <c r="P39" s="56">
        <f t="shared" si="26"/>
        <v>0.242546250900781</v>
      </c>
      <c r="Q39" s="56">
        <f t="shared" si="26"/>
        <v>0.17948299237337603</v>
      </c>
      <c r="R39" s="56">
        <f t="shared" si="26"/>
        <v>-0.11450249477402256</v>
      </c>
      <c r="S39" s="56">
        <f t="shared" si="26"/>
        <v>0.10527155667867533</v>
      </c>
      <c r="T39" s="56">
        <f t="shared" si="26"/>
        <v>4.8516763335373997E-2</v>
      </c>
      <c r="U39" s="56">
        <f t="shared" si="26"/>
        <v>-0.10735329570820652</v>
      </c>
      <c r="V39" s="56">
        <f t="shared" si="26"/>
        <v>-0.13098034634885683</v>
      </c>
      <c r="W39" s="56">
        <f t="shared" si="26"/>
        <v>-1.3129787369272139E-2</v>
      </c>
      <c r="X39" s="56">
        <f t="shared" si="26"/>
        <v>-2.6136838278073241E-2</v>
      </c>
      <c r="Y39" s="56">
        <f t="shared" si="26"/>
        <v>5.9417023531620081E-2</v>
      </c>
      <c r="Z39" s="56">
        <f t="shared" si="26"/>
        <v>8.557361618798956E-2</v>
      </c>
      <c r="AA39" s="56">
        <f t="shared" si="26"/>
        <v>0.12815135654261706</v>
      </c>
      <c r="AB39" s="56">
        <f t="shared" si="26"/>
        <v>0.14935064935064934</v>
      </c>
      <c r="AC39" s="56">
        <f t="shared" si="26"/>
        <v>0.10195674562306901</v>
      </c>
      <c r="AD39" s="56">
        <f t="shared" ref="AD39" si="27">AD12/AD23</f>
        <v>-0.26432291666666669</v>
      </c>
      <c r="AE39" s="56"/>
      <c r="AF39" s="1"/>
    </row>
    <row r="40" spans="1:32" x14ac:dyDescent="0.3">
      <c r="A40" s="18" t="s">
        <v>80</v>
      </c>
      <c r="B40" s="17" t="s">
        <v>41</v>
      </c>
      <c r="C40" s="6" t="s">
        <v>61</v>
      </c>
      <c r="D40" s="7">
        <f t="shared" ref="D40:AC40" si="28">D20-D19</f>
        <v>0</v>
      </c>
      <c r="E40" s="7">
        <f t="shared" si="28"/>
        <v>0</v>
      </c>
      <c r="F40" s="7">
        <f t="shared" si="28"/>
        <v>0</v>
      </c>
      <c r="G40" s="7">
        <f t="shared" si="28"/>
        <v>0</v>
      </c>
      <c r="H40" s="7">
        <f t="shared" si="28"/>
        <v>-42.72</v>
      </c>
      <c r="I40" s="7">
        <f t="shared" si="28"/>
        <v>-12.764999999999997</v>
      </c>
      <c r="J40" s="7">
        <f t="shared" si="28"/>
        <v>-3.5935674000000049</v>
      </c>
      <c r="K40" s="7">
        <f t="shared" si="28"/>
        <v>-95.266325999999992</v>
      </c>
      <c r="L40" s="7">
        <f t="shared" si="28"/>
        <v>-73.472551999999993</v>
      </c>
      <c r="M40" s="7">
        <f t="shared" si="28"/>
        <v>-29.522794999999999</v>
      </c>
      <c r="N40" s="7">
        <f t="shared" si="28"/>
        <v>-46.505324000000002</v>
      </c>
      <c r="O40" s="7">
        <f t="shared" si="28"/>
        <v>-56.494365999999992</v>
      </c>
      <c r="P40" s="7">
        <f t="shared" si="28"/>
        <v>-62.66936299999999</v>
      </c>
      <c r="Q40" s="7">
        <f t="shared" si="28"/>
        <v>-131.40531299999998</v>
      </c>
      <c r="R40" s="7">
        <f t="shared" si="28"/>
        <v>-196.22197</v>
      </c>
      <c r="S40" s="7">
        <f t="shared" si="28"/>
        <v>-190.47684599999999</v>
      </c>
      <c r="T40" s="7">
        <f t="shared" si="28"/>
        <v>-126.66340700000001</v>
      </c>
      <c r="U40" s="7">
        <f t="shared" si="28"/>
        <v>-139.168162</v>
      </c>
      <c r="V40" s="7">
        <f t="shared" si="28"/>
        <v>-126.16801500000001</v>
      </c>
      <c r="W40" s="7">
        <f t="shared" si="28"/>
        <v>-110.35582300000002</v>
      </c>
      <c r="X40" s="7">
        <f t="shared" si="28"/>
        <v>-87.385968999999989</v>
      </c>
      <c r="Y40" s="7">
        <f t="shared" si="28"/>
        <v>-66.848377999999997</v>
      </c>
      <c r="Z40" s="7">
        <f t="shared" si="28"/>
        <v>-46.829475000000002</v>
      </c>
      <c r="AA40" s="7">
        <f t="shared" si="28"/>
        <v>-17.61609</v>
      </c>
      <c r="AB40" s="7">
        <f t="shared" si="28"/>
        <v>7.7999999999999972</v>
      </c>
      <c r="AC40" s="7">
        <f t="shared" si="28"/>
        <v>37.1</v>
      </c>
      <c r="AD40" s="7">
        <f t="shared" ref="AD40" si="29">AD20-AD19</f>
        <v>33</v>
      </c>
      <c r="AE40" s="7"/>
      <c r="AF40" s="1"/>
    </row>
    <row r="41" spans="1:32" x14ac:dyDescent="0.3">
      <c r="A41" s="53" t="s">
        <v>96</v>
      </c>
      <c r="B41" s="49" t="s">
        <v>42</v>
      </c>
      <c r="C41" s="52" t="s">
        <v>98</v>
      </c>
      <c r="D41" s="29" t="e">
        <f>D20/D19</f>
        <v>#DIV/0!</v>
      </c>
      <c r="E41" s="29" t="e">
        <f t="shared" ref="E41:AC41" si="30">E20/E19</f>
        <v>#DIV/0!</v>
      </c>
      <c r="F41" s="29" t="e">
        <f t="shared" si="30"/>
        <v>#DIV/0!</v>
      </c>
      <c r="G41" s="29" t="e">
        <f t="shared" si="30"/>
        <v>#DIV/0!</v>
      </c>
      <c r="H41" s="29">
        <f t="shared" si="30"/>
        <v>0.3928368391131325</v>
      </c>
      <c r="I41" s="29">
        <f t="shared" si="30"/>
        <v>0.70745960811275355</v>
      </c>
      <c r="J41" s="29">
        <f t="shared" si="30"/>
        <v>0.90324385094366766</v>
      </c>
      <c r="K41" s="29">
        <f t="shared" si="30"/>
        <v>0.28203706457970323</v>
      </c>
      <c r="L41" s="29">
        <f t="shared" si="30"/>
        <v>0.28993196185979836</v>
      </c>
      <c r="M41" s="29">
        <f t="shared" si="30"/>
        <v>0.44892188283250856</v>
      </c>
      <c r="N41" s="29">
        <f t="shared" si="30"/>
        <v>0.50209096249198815</v>
      </c>
      <c r="O41" s="29">
        <f t="shared" si="30"/>
        <v>0.49133036506556588</v>
      </c>
      <c r="P41" s="29">
        <f t="shared" si="30"/>
        <v>0.51910514464274127</v>
      </c>
      <c r="Q41" s="29">
        <f t="shared" si="30"/>
        <v>0.16870468334742789</v>
      </c>
      <c r="R41" s="29">
        <f t="shared" si="30"/>
        <v>9.3952635993021713E-2</v>
      </c>
      <c r="S41" s="29">
        <f t="shared" si="30"/>
        <v>7.9126259870337695E-2</v>
      </c>
      <c r="T41" s="29">
        <f t="shared" si="30"/>
        <v>0.12119282522156206</v>
      </c>
      <c r="U41" s="29">
        <f t="shared" si="30"/>
        <v>0.12914759105820192</v>
      </c>
      <c r="V41" s="29">
        <f t="shared" si="30"/>
        <v>0.1169983920117674</v>
      </c>
      <c r="W41" s="29">
        <f t="shared" si="30"/>
        <v>0.13886222398527875</v>
      </c>
      <c r="X41" s="29">
        <f t="shared" si="30"/>
        <v>0.17295779626346694</v>
      </c>
      <c r="Y41" s="29">
        <f t="shared" si="30"/>
        <v>0.22047319579565863</v>
      </c>
      <c r="Z41" s="29">
        <f t="shared" si="30"/>
        <v>0.32137169548292227</v>
      </c>
      <c r="AA41" s="29">
        <f t="shared" si="30"/>
        <v>0.65738726920144341</v>
      </c>
      <c r="AB41" s="29">
        <f t="shared" si="30"/>
        <v>1.1380530973451326</v>
      </c>
      <c r="AC41" s="29">
        <f t="shared" si="30"/>
        <v>1.6696750902527075</v>
      </c>
      <c r="AD41" s="29">
        <f t="shared" ref="AD41" si="31">AD20/AD19</f>
        <v>1.9510086455331412</v>
      </c>
      <c r="AE41" s="29"/>
      <c r="AF41" s="1"/>
    </row>
    <row r="42" spans="1:32" x14ac:dyDescent="0.3">
      <c r="A42" s="16" t="s">
        <v>81</v>
      </c>
      <c r="B42" s="17" t="s">
        <v>43</v>
      </c>
      <c r="C42" s="1" t="s">
        <v>60</v>
      </c>
      <c r="D42" s="30" t="e">
        <f t="shared" ref="D42:AC42" si="32">(D20-D21)/D19</f>
        <v>#DIV/0!</v>
      </c>
      <c r="E42" s="30" t="e">
        <f t="shared" si="32"/>
        <v>#DIV/0!</v>
      </c>
      <c r="F42" s="30" t="e">
        <f t="shared" si="32"/>
        <v>#DIV/0!</v>
      </c>
      <c r="G42" s="30" t="e">
        <f t="shared" si="32"/>
        <v>#DIV/0!</v>
      </c>
      <c r="H42" s="30">
        <f t="shared" si="32"/>
        <v>0.16372939169982945</v>
      </c>
      <c r="I42" s="30">
        <f t="shared" si="32"/>
        <v>0.33482296321760058</v>
      </c>
      <c r="J42" s="30">
        <f t="shared" si="32"/>
        <v>0.46484235586236078</v>
      </c>
      <c r="K42" s="30">
        <f t="shared" si="32"/>
        <v>0.15935371950909097</v>
      </c>
      <c r="L42" s="30">
        <f t="shared" si="32"/>
        <v>0.13306354906564982</v>
      </c>
      <c r="M42" s="30">
        <f t="shared" si="32"/>
        <v>0.24643978347592282</v>
      </c>
      <c r="N42" s="30">
        <f t="shared" si="32"/>
        <v>0.15655940132275542</v>
      </c>
      <c r="O42" s="30">
        <f t="shared" si="32"/>
        <v>0.16534850617776953</v>
      </c>
      <c r="P42" s="30">
        <f t="shared" si="32"/>
        <v>0.43503470731027388</v>
      </c>
      <c r="Q42" s="30">
        <f t="shared" si="32"/>
        <v>0.13210615993897806</v>
      </c>
      <c r="R42" s="30">
        <f t="shared" si="32"/>
        <v>8.7039636043569055E-2</v>
      </c>
      <c r="S42" s="30">
        <f t="shared" si="32"/>
        <v>5.9861845282943651E-2</v>
      </c>
      <c r="T42" s="30">
        <f t="shared" si="32"/>
        <v>9.6452376672711129E-2</v>
      </c>
      <c r="U42" s="30">
        <f t="shared" si="32"/>
        <v>9.7927010365746026E-2</v>
      </c>
      <c r="V42" s="30">
        <f t="shared" si="32"/>
        <v>8.2697946397228841E-2</v>
      </c>
      <c r="W42" s="30">
        <f t="shared" si="32"/>
        <v>8.6010537819390054E-2</v>
      </c>
      <c r="X42" s="30">
        <f t="shared" si="32"/>
        <v>0.10889966096614379</v>
      </c>
      <c r="Y42" s="30">
        <f t="shared" si="32"/>
        <v>0.14172051372401023</v>
      </c>
      <c r="Z42" s="30">
        <f t="shared" si="32"/>
        <v>0.22318257085600898</v>
      </c>
      <c r="AA42" s="30">
        <f t="shared" si="32"/>
        <v>0.52285967520883592</v>
      </c>
      <c r="AB42" s="30">
        <f t="shared" si="32"/>
        <v>1.0159292035398231</v>
      </c>
      <c r="AC42" s="30">
        <f t="shared" si="32"/>
        <v>1.5451263537906137</v>
      </c>
      <c r="AD42" s="30">
        <f t="shared" ref="AD42" si="33">(AD20-AD21)/AD19</f>
        <v>1.7521613832853025</v>
      </c>
      <c r="AE42" s="30"/>
      <c r="AF42" s="1"/>
    </row>
    <row r="43" spans="1:32" x14ac:dyDescent="0.3">
      <c r="A43" s="18" t="s">
        <v>82</v>
      </c>
      <c r="B43" s="49" t="s">
        <v>44</v>
      </c>
      <c r="C43" s="6" t="s">
        <v>62</v>
      </c>
      <c r="D43" s="29" t="e">
        <f t="shared" ref="D43:AC43" si="34">D14/D19</f>
        <v>#DIV/0!</v>
      </c>
      <c r="E43" s="29" t="e">
        <f t="shared" si="34"/>
        <v>#DIV/0!</v>
      </c>
      <c r="F43" s="29" t="e">
        <f t="shared" si="34"/>
        <v>#DIV/0!</v>
      </c>
      <c r="G43" s="29" t="e">
        <f t="shared" si="34"/>
        <v>#DIV/0!</v>
      </c>
      <c r="H43" s="29">
        <f t="shared" si="34"/>
        <v>8.3854462762933485E-2</v>
      </c>
      <c r="I43" s="29">
        <f t="shared" si="34"/>
        <v>0.1599633321874642</v>
      </c>
      <c r="J43" s="29">
        <f t="shared" si="34"/>
        <v>0.16101041303882788</v>
      </c>
      <c r="K43" s="29">
        <f t="shared" si="34"/>
        <v>9.4983391897889929E-2</v>
      </c>
      <c r="L43" s="29">
        <f t="shared" si="34"/>
        <v>9.3870643105429544E-2</v>
      </c>
      <c r="M43" s="29">
        <f t="shared" si="34"/>
        <v>0.17137339950249</v>
      </c>
      <c r="N43" s="29">
        <f t="shared" si="34"/>
        <v>9.8529650220401235E-2</v>
      </c>
      <c r="O43" s="29">
        <f t="shared" si="34"/>
        <v>0.11195217243448563</v>
      </c>
      <c r="P43" s="29">
        <f t="shared" si="34"/>
        <v>0.29909467841654047</v>
      </c>
      <c r="Q43" s="29">
        <f t="shared" si="34"/>
        <v>8.2408445031858152E-2</v>
      </c>
      <c r="R43" s="29">
        <f t="shared" si="34"/>
        <v>5.8435603445566288E-2</v>
      </c>
      <c r="S43" s="29">
        <f t="shared" si="34"/>
        <v>5.172002729579165E-2</v>
      </c>
      <c r="T43" s="29">
        <f t="shared" si="34"/>
        <v>7.5534643446068681E-2</v>
      </c>
      <c r="U43" s="29">
        <f t="shared" si="34"/>
        <v>7.3266405905594939E-2</v>
      </c>
      <c r="V43" s="29">
        <f t="shared" si="34"/>
        <v>6.7586952601600775E-2</v>
      </c>
      <c r="W43" s="29">
        <f t="shared" si="34"/>
        <v>7.5338306870539093E-2</v>
      </c>
      <c r="X43" s="29">
        <f t="shared" si="34"/>
        <v>9.507252233121688E-2</v>
      </c>
      <c r="Y43" s="29">
        <f t="shared" si="34"/>
        <v>0.12691547705871584</v>
      </c>
      <c r="Z43" s="29">
        <f t="shared" si="34"/>
        <v>0.19669846744215591</v>
      </c>
      <c r="AA43" s="29">
        <f t="shared" si="34"/>
        <v>0.48619876384651306</v>
      </c>
      <c r="AB43" s="29">
        <f t="shared" si="34"/>
        <v>0.94690265486725667</v>
      </c>
      <c r="AC43" s="29">
        <f t="shared" si="34"/>
        <v>1.4981949458483754</v>
      </c>
      <c r="AD43" s="29">
        <f t="shared" ref="AD43" si="35">AD14/AD19</f>
        <v>1.6916426512968299</v>
      </c>
      <c r="AE43" s="29"/>
      <c r="AF43" s="1"/>
    </row>
    <row r="44" spans="1:32" x14ac:dyDescent="0.3">
      <c r="A44" s="16" t="s">
        <v>83</v>
      </c>
      <c r="B44" s="17" t="s">
        <v>45</v>
      </c>
      <c r="C44" s="1" t="s">
        <v>63</v>
      </c>
      <c r="D44" s="30" t="e">
        <f t="shared" ref="D44:AC44" si="36">D29/D7</f>
        <v>#DIV/0!</v>
      </c>
      <c r="E44" s="30" t="e">
        <f t="shared" si="36"/>
        <v>#DIV/0!</v>
      </c>
      <c r="F44" s="30" t="e">
        <f t="shared" si="36"/>
        <v>#DIV/0!</v>
      </c>
      <c r="G44" s="30" t="e">
        <f t="shared" si="36"/>
        <v>#DIV/0!</v>
      </c>
      <c r="H44" s="30">
        <f t="shared" si="36"/>
        <v>2.0280875671210246</v>
      </c>
      <c r="I44" s="30">
        <f t="shared" si="36"/>
        <v>1.3309883925430883</v>
      </c>
      <c r="J44" s="30">
        <f t="shared" si="36"/>
        <v>1.115046677649643</v>
      </c>
      <c r="K44" s="30">
        <f t="shared" si="36"/>
        <v>6.022441184620714</v>
      </c>
      <c r="L44" s="30">
        <f t="shared" si="36"/>
        <v>4.0456810820124049</v>
      </c>
      <c r="M44" s="30">
        <f t="shared" si="36"/>
        <v>29.070809309602971</v>
      </c>
      <c r="N44" s="30">
        <f t="shared" si="36"/>
        <v>4.2036152210408506</v>
      </c>
      <c r="O44" s="30">
        <f t="shared" si="36"/>
        <v>5.1157908561444376</v>
      </c>
      <c r="P44" s="30">
        <f t="shared" si="36"/>
        <v>4.7614363037053868</v>
      </c>
      <c r="Q44" s="30">
        <f t="shared" si="36"/>
        <v>2.7718337527496701</v>
      </c>
      <c r="R44" s="30">
        <f t="shared" si="36"/>
        <v>4.0697801824212281</v>
      </c>
      <c r="S44" s="30">
        <f t="shared" si="36"/>
        <v>3.0543757614116078</v>
      </c>
      <c r="T44" s="30">
        <f t="shared" si="36"/>
        <v>2.9185202121405012</v>
      </c>
      <c r="U44" s="30">
        <f t="shared" si="36"/>
        <v>4.2384156688839623</v>
      </c>
      <c r="V44" s="30">
        <f t="shared" si="36"/>
        <v>5.3934840019569474</v>
      </c>
      <c r="W44" s="30">
        <f t="shared" si="36"/>
        <v>3.3056889010989012</v>
      </c>
      <c r="X44" s="30">
        <f t="shared" si="36"/>
        <v>2.8553883397683402</v>
      </c>
      <c r="Y44" s="30">
        <f t="shared" si="36"/>
        <v>1.5198764067796611</v>
      </c>
      <c r="Z44" s="30">
        <f t="shared" si="36"/>
        <v>0.54646941368078183</v>
      </c>
      <c r="AA44" s="30">
        <f t="shared" si="36"/>
        <v>-0.54100880341880331</v>
      </c>
      <c r="AB44" s="30">
        <f t="shared" si="36"/>
        <v>-1.4779005524861877</v>
      </c>
      <c r="AC44" s="30">
        <f t="shared" si="36"/>
        <v>-2.4035087719298245</v>
      </c>
      <c r="AD44" s="30">
        <f t="shared" ref="AD44" si="37">AD29/AD7</f>
        <v>-8.0625</v>
      </c>
      <c r="AE44" s="30"/>
      <c r="AF44" s="1"/>
    </row>
    <row r="45" spans="1:32" x14ac:dyDescent="0.3">
      <c r="A45" s="18" t="s">
        <v>84</v>
      </c>
      <c r="B45" s="54" t="s">
        <v>99</v>
      </c>
      <c r="C45" s="6" t="s">
        <v>64</v>
      </c>
      <c r="D45" s="29" t="e">
        <f t="shared" ref="D45:AC45" si="38">D18/D23</f>
        <v>#DIV/0!</v>
      </c>
      <c r="E45" s="29" t="e">
        <f t="shared" si="38"/>
        <v>#DIV/0!</v>
      </c>
      <c r="F45" s="29" t="e">
        <f t="shared" si="38"/>
        <v>#DIV/0!</v>
      </c>
      <c r="G45" s="29" t="e">
        <f t="shared" si="38"/>
        <v>#DIV/0!</v>
      </c>
      <c r="H45" s="29">
        <f t="shared" si="38"/>
        <v>1.2042911675661445</v>
      </c>
      <c r="I45" s="29">
        <f t="shared" si="38"/>
        <v>0.99782655944359921</v>
      </c>
      <c r="J45" s="29">
        <f t="shared" si="38"/>
        <v>0.9472623751369339</v>
      </c>
      <c r="K45" s="29">
        <f t="shared" si="38"/>
        <v>2.4656669364591166</v>
      </c>
      <c r="L45" s="29">
        <f t="shared" si="38"/>
        <v>2.3007339698493472</v>
      </c>
      <c r="M45" s="29">
        <f t="shared" si="38"/>
        <v>3.0590230755136054</v>
      </c>
      <c r="N45" s="29">
        <f t="shared" si="38"/>
        <v>4.6376716345872833</v>
      </c>
      <c r="O45" s="29">
        <f t="shared" si="38"/>
        <v>4.6305511720075101</v>
      </c>
      <c r="P45" s="29">
        <f t="shared" si="38"/>
        <v>4.3257834521806879</v>
      </c>
      <c r="Q45" s="29">
        <f t="shared" si="38"/>
        <v>2.9269881871470647</v>
      </c>
      <c r="R45" s="29">
        <f t="shared" si="38"/>
        <v>3.398720656778019</v>
      </c>
      <c r="S45" s="29">
        <f t="shared" si="38"/>
        <v>2.6819723136491076</v>
      </c>
      <c r="T45" s="29">
        <f t="shared" si="38"/>
        <v>2.1390938715999099</v>
      </c>
      <c r="U45" s="29">
        <f t="shared" si="38"/>
        <v>2.3121926747660897</v>
      </c>
      <c r="V45" s="29">
        <f t="shared" si="38"/>
        <v>2.3702210197645437</v>
      </c>
      <c r="W45" s="29">
        <f t="shared" si="38"/>
        <v>2.0961898689643914</v>
      </c>
      <c r="X45" s="29">
        <f t="shared" si="38"/>
        <v>1.87881664159309</v>
      </c>
      <c r="Y45" s="29">
        <f t="shared" si="38"/>
        <v>1.4716597089187295</v>
      </c>
      <c r="Z45" s="29">
        <f t="shared" si="38"/>
        <v>1.1044386422976502</v>
      </c>
      <c r="AA45" s="29">
        <f t="shared" si="38"/>
        <v>0.80192076830732295</v>
      </c>
      <c r="AB45" s="29">
        <f t="shared" si="38"/>
        <v>0.77380952380952372</v>
      </c>
      <c r="AC45" s="29">
        <f t="shared" si="38"/>
        <v>0.75592173017507736</v>
      </c>
      <c r="AD45" s="29">
        <f t="shared" ref="AD45" si="39">AD18/AD23</f>
        <v>0.66145833333333337</v>
      </c>
      <c r="AE45" s="29"/>
      <c r="AF45" s="1"/>
    </row>
    <row r="46" spans="1:32" x14ac:dyDescent="0.3">
      <c r="A46" s="18" t="s">
        <v>97</v>
      </c>
      <c r="B46" s="17" t="s">
        <v>100</v>
      </c>
      <c r="C46" s="6" t="s">
        <v>111</v>
      </c>
      <c r="D46" s="28">
        <f t="shared" ref="D46:AC46" si="40">D13/D4</f>
        <v>0</v>
      </c>
      <c r="E46" s="28">
        <f t="shared" si="40"/>
        <v>0</v>
      </c>
      <c r="F46" s="28">
        <f t="shared" si="40"/>
        <v>0</v>
      </c>
      <c r="G46" s="28">
        <f t="shared" si="40"/>
        <v>0</v>
      </c>
      <c r="H46" s="28">
        <f t="shared" si="40"/>
        <v>3.5264483627204029E-3</v>
      </c>
      <c r="I46" s="28">
        <f t="shared" si="40"/>
        <v>7.3461891643709825E-3</v>
      </c>
      <c r="J46" s="28">
        <f t="shared" si="40"/>
        <v>3.584229390681004E-3</v>
      </c>
      <c r="K46" s="28">
        <f t="shared" si="40"/>
        <v>2.6703499079189688E-2</v>
      </c>
      <c r="L46" s="28">
        <f t="shared" si="40"/>
        <v>4.3386243386243389E-2</v>
      </c>
      <c r="M46" s="28">
        <f t="shared" si="40"/>
        <v>0</v>
      </c>
      <c r="N46" s="28">
        <f t="shared" si="40"/>
        <v>0</v>
      </c>
      <c r="O46" s="28">
        <f t="shared" si="40"/>
        <v>0</v>
      </c>
      <c r="P46" s="28">
        <f t="shared" si="40"/>
        <v>2.7812895069532238E-2</v>
      </c>
      <c r="Q46" s="28">
        <f t="shared" si="40"/>
        <v>3.2388663967611336E-2</v>
      </c>
      <c r="R46" s="28">
        <f t="shared" si="40"/>
        <v>0</v>
      </c>
      <c r="S46" s="28">
        <f t="shared" si="40"/>
        <v>3.3875338753387538E-2</v>
      </c>
      <c r="T46" s="28">
        <f t="shared" si="40"/>
        <v>4.0916530278232402E-2</v>
      </c>
      <c r="U46" s="28">
        <f t="shared" si="40"/>
        <v>0.10504201680672269</v>
      </c>
      <c r="V46" s="28">
        <f t="shared" si="40"/>
        <v>0</v>
      </c>
      <c r="W46" s="28">
        <f t="shared" si="40"/>
        <v>0</v>
      </c>
      <c r="X46" s="28">
        <f t="shared" si="40"/>
        <v>0</v>
      </c>
      <c r="Y46" s="28">
        <f t="shared" si="40"/>
        <v>0.22580645161290319</v>
      </c>
      <c r="Z46" s="28">
        <f t="shared" si="40"/>
        <v>0.11336032388663968</v>
      </c>
      <c r="AA46" s="28">
        <f t="shared" si="40"/>
        <v>2.7158098933074686E-2</v>
      </c>
      <c r="AB46" s="28">
        <f t="shared" si="40"/>
        <v>3.125E-2</v>
      </c>
      <c r="AC46" s="28">
        <f t="shared" si="40"/>
        <v>0</v>
      </c>
      <c r="AD46" s="28">
        <f t="shared" ref="AD46" si="41">AD13/AD4</f>
        <v>0</v>
      </c>
      <c r="AE46" s="28"/>
      <c r="AF46" s="1"/>
    </row>
  </sheetData>
  <mergeCells count="3">
    <mergeCell ref="A6:A13"/>
    <mergeCell ref="A14:A23"/>
    <mergeCell ref="AC2:AE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A102C-8DB4-4ECE-9C1F-B9ABA4AF9537}">
  <sheetPr codeName="Planilha16"/>
  <dimension ref="A2:K46"/>
  <sheetViews>
    <sheetView workbookViewId="0">
      <pane xSplit="3" ySplit="3" topLeftCell="D25" activePane="bottomRight" state="frozen"/>
      <selection activeCell="C22" sqref="C22"/>
      <selection pane="topRight" activeCell="C22" sqref="C22"/>
      <selection pane="bottomLeft" activeCell="C22" sqref="C22"/>
      <selection pane="bottomRight" activeCell="O39" sqref="O39"/>
    </sheetView>
  </sheetViews>
  <sheetFormatPr defaultRowHeight="14.4" x14ac:dyDescent="0.3"/>
  <cols>
    <col min="1" max="1" width="10" bestFit="1" customWidth="1"/>
    <col min="2" max="2" width="4" bestFit="1" customWidth="1"/>
    <col min="3" max="3" width="25.5546875" customWidth="1"/>
    <col min="4" max="4" width="9.109375" customWidth="1"/>
    <col min="5" max="10" width="8.33203125" customWidth="1"/>
  </cols>
  <sheetData>
    <row r="2" spans="1:11" x14ac:dyDescent="0.3">
      <c r="G2" s="70"/>
      <c r="H2" s="104" t="s">
        <v>102</v>
      </c>
      <c r="I2" s="104"/>
      <c r="J2" s="107"/>
    </row>
    <row r="3" spans="1:11" s="10" customFormat="1" x14ac:dyDescent="0.3">
      <c r="A3" s="9" t="s">
        <v>25</v>
      </c>
      <c r="B3" s="8" t="s">
        <v>23</v>
      </c>
      <c r="C3" s="9" t="s">
        <v>24</v>
      </c>
      <c r="D3" s="31">
        <v>15</v>
      </c>
      <c r="E3" s="8">
        <v>16</v>
      </c>
      <c r="F3" s="8">
        <v>17</v>
      </c>
      <c r="G3" s="8">
        <v>18</v>
      </c>
      <c r="H3" s="8">
        <v>19</v>
      </c>
      <c r="I3" s="8">
        <v>20</v>
      </c>
      <c r="J3" s="8" t="s">
        <v>3</v>
      </c>
      <c r="K3" s="8" t="s">
        <v>94</v>
      </c>
    </row>
    <row r="4" spans="1:11" x14ac:dyDescent="0.3">
      <c r="A4" s="4" t="s">
        <v>5</v>
      </c>
      <c r="B4" s="11">
        <v>1</v>
      </c>
      <c r="C4" s="6" t="s">
        <v>4</v>
      </c>
      <c r="D4" s="19">
        <v>5.05</v>
      </c>
      <c r="E4" s="19">
        <v>5.05</v>
      </c>
      <c r="F4" s="19">
        <v>5.05</v>
      </c>
      <c r="G4" s="19">
        <v>4.5</v>
      </c>
      <c r="H4" s="19">
        <v>4.9000000000000004</v>
      </c>
      <c r="I4" s="19">
        <v>4</v>
      </c>
      <c r="J4" s="19">
        <v>1.5</v>
      </c>
      <c r="K4" s="1">
        <v>1.1000000000000001</v>
      </c>
    </row>
    <row r="5" spans="1:11" x14ac:dyDescent="0.3">
      <c r="A5" s="5" t="s">
        <v>8</v>
      </c>
      <c r="B5" s="12">
        <v>3</v>
      </c>
      <c r="C5" s="1" t="s">
        <v>86</v>
      </c>
      <c r="D5" s="1">
        <v>20</v>
      </c>
      <c r="E5" s="3">
        <v>20</v>
      </c>
      <c r="F5" s="3">
        <v>20</v>
      </c>
      <c r="G5" s="3">
        <v>20</v>
      </c>
      <c r="H5" s="3">
        <v>20</v>
      </c>
      <c r="I5" s="3">
        <v>20</v>
      </c>
      <c r="J5" s="3">
        <v>20</v>
      </c>
      <c r="K5" s="3">
        <v>20</v>
      </c>
    </row>
    <row r="6" spans="1:11" x14ac:dyDescent="0.3">
      <c r="A6" s="101" t="s">
        <v>7</v>
      </c>
      <c r="B6" s="13">
        <v>4</v>
      </c>
      <c r="C6" s="6" t="s">
        <v>104</v>
      </c>
      <c r="D6" s="7">
        <v>691.46242400000006</v>
      </c>
      <c r="E6" s="7">
        <v>700.63669000000004</v>
      </c>
      <c r="F6" s="7">
        <v>702.70901600000002</v>
      </c>
      <c r="G6" s="7">
        <v>705.1</v>
      </c>
      <c r="H6" s="7">
        <v>765.7</v>
      </c>
      <c r="I6" s="7">
        <v>766.7</v>
      </c>
      <c r="J6" s="7"/>
      <c r="K6" s="1"/>
    </row>
    <row r="7" spans="1:11" x14ac:dyDescent="0.3">
      <c r="A7" s="101"/>
      <c r="B7" s="13">
        <v>5</v>
      </c>
      <c r="C7" s="1" t="s">
        <v>9</v>
      </c>
      <c r="D7" s="3">
        <v>43.5</v>
      </c>
      <c r="E7" s="3">
        <v>35.1</v>
      </c>
      <c r="F7" s="3">
        <v>37.6</v>
      </c>
      <c r="G7" s="3">
        <v>28.7</v>
      </c>
      <c r="H7" s="3">
        <v>48.3</v>
      </c>
      <c r="I7" s="3">
        <v>14.9</v>
      </c>
      <c r="J7" s="3"/>
      <c r="K7" s="1"/>
    </row>
    <row r="8" spans="1:11" x14ac:dyDescent="0.3">
      <c r="A8" s="101"/>
      <c r="B8" s="13">
        <v>6</v>
      </c>
      <c r="C8" s="6" t="s">
        <v>10</v>
      </c>
      <c r="D8" s="7">
        <v>36.481400000000001</v>
      </c>
      <c r="E8" s="7">
        <v>29.276900000000001</v>
      </c>
      <c r="F8" s="7">
        <v>30.507850999999999</v>
      </c>
      <c r="G8" s="7">
        <v>19.899999999999999</v>
      </c>
      <c r="H8" s="7">
        <v>33.200000000000003</v>
      </c>
      <c r="I8" s="7">
        <v>-0.1</v>
      </c>
      <c r="J8" s="7"/>
      <c r="K8" s="1"/>
    </row>
    <row r="9" spans="1:11" x14ac:dyDescent="0.3">
      <c r="A9" s="101"/>
      <c r="B9" s="13">
        <v>11</v>
      </c>
      <c r="C9" s="1" t="s">
        <v>11</v>
      </c>
      <c r="D9" s="32">
        <v>-7.4</v>
      </c>
      <c r="E9" s="3">
        <v>-6.4</v>
      </c>
      <c r="F9" s="3">
        <v>-6.2</v>
      </c>
      <c r="G9" s="3">
        <v>-6.2</v>
      </c>
      <c r="H9" s="3">
        <v>-6.1</v>
      </c>
      <c r="I9" s="3">
        <v>-6.2</v>
      </c>
      <c r="J9" s="3"/>
      <c r="K9" s="1"/>
    </row>
    <row r="10" spans="1:11" x14ac:dyDescent="0.3">
      <c r="A10" s="101"/>
      <c r="B10" s="13">
        <v>12</v>
      </c>
      <c r="C10" s="6" t="s">
        <v>12</v>
      </c>
      <c r="D10" s="33">
        <v>27.737428000000001</v>
      </c>
      <c r="E10" s="7">
        <v>21.477705</v>
      </c>
      <c r="F10" s="7">
        <v>22.9</v>
      </c>
      <c r="G10" s="7">
        <v>12.3</v>
      </c>
      <c r="H10" s="7">
        <v>25.7</v>
      </c>
      <c r="I10" s="7">
        <v>-8.1999999999999993</v>
      </c>
      <c r="J10" s="7"/>
      <c r="K10" s="1"/>
    </row>
    <row r="11" spans="1:11" x14ac:dyDescent="0.3">
      <c r="A11" s="101"/>
      <c r="B11" s="13">
        <v>13</v>
      </c>
      <c r="C11" s="1" t="s">
        <v>13</v>
      </c>
      <c r="D11" s="32">
        <v>8.0780799999999999</v>
      </c>
      <c r="E11" s="3">
        <v>5.9508660000000004</v>
      </c>
      <c r="F11" s="3">
        <v>4.3</v>
      </c>
      <c r="G11" s="3">
        <v>3</v>
      </c>
      <c r="H11" s="3">
        <v>7.3</v>
      </c>
      <c r="I11" s="3">
        <v>-1.8</v>
      </c>
      <c r="J11" s="3"/>
      <c r="K11" s="1"/>
    </row>
    <row r="12" spans="1:11" x14ac:dyDescent="0.3">
      <c r="A12" s="101"/>
      <c r="B12" s="13">
        <v>14</v>
      </c>
      <c r="C12" s="6" t="s">
        <v>121</v>
      </c>
      <c r="D12" s="33">
        <v>34.5</v>
      </c>
      <c r="E12" s="33">
        <v>6.7</v>
      </c>
      <c r="F12" s="7">
        <v>11.4</v>
      </c>
      <c r="G12" s="7">
        <v>2.8</v>
      </c>
      <c r="H12" s="7">
        <v>12.8</v>
      </c>
      <c r="I12" s="7">
        <v>-15.2</v>
      </c>
      <c r="J12" s="7"/>
      <c r="K12" s="1"/>
    </row>
    <row r="13" spans="1:11" x14ac:dyDescent="0.3">
      <c r="A13" s="101"/>
      <c r="B13" s="13">
        <v>2</v>
      </c>
      <c r="C13" s="1" t="s">
        <v>15</v>
      </c>
      <c r="D13" s="1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/>
      <c r="K13" s="1"/>
    </row>
    <row r="14" spans="1:11" x14ac:dyDescent="0.3">
      <c r="A14" s="102" t="s">
        <v>14</v>
      </c>
      <c r="B14" s="14">
        <v>8</v>
      </c>
      <c r="C14" s="6" t="s">
        <v>16</v>
      </c>
      <c r="D14" s="7">
        <v>15.6</v>
      </c>
      <c r="E14" s="7">
        <v>15.3</v>
      </c>
      <c r="F14" s="7">
        <v>18.7</v>
      </c>
      <c r="G14" s="7">
        <v>22</v>
      </c>
      <c r="H14" s="7">
        <v>17.399999999999999</v>
      </c>
      <c r="I14" s="7">
        <v>28.4</v>
      </c>
      <c r="J14" s="7">
        <v>19.8</v>
      </c>
      <c r="K14" s="1"/>
    </row>
    <row r="15" spans="1:11" x14ac:dyDescent="0.3">
      <c r="A15" s="103"/>
      <c r="B15" s="14">
        <v>7</v>
      </c>
      <c r="C15" s="1" t="s">
        <v>17</v>
      </c>
      <c r="D15" s="32">
        <f>113.883439+81.289362</f>
        <v>195.17280099999999</v>
      </c>
      <c r="E15" s="3">
        <f>108.041335+102.199892</f>
        <v>210.24122700000001</v>
      </c>
      <c r="F15" s="3">
        <v>152.19999999999999</v>
      </c>
      <c r="G15" s="3">
        <v>222.2</v>
      </c>
      <c r="H15" s="3">
        <v>250.4</v>
      </c>
      <c r="I15" s="3">
        <v>273.8</v>
      </c>
      <c r="J15" s="3">
        <v>262.60000000000002</v>
      </c>
      <c r="K15" s="1"/>
    </row>
    <row r="16" spans="1:11" x14ac:dyDescent="0.3">
      <c r="A16" s="103"/>
      <c r="B16" s="14">
        <v>9</v>
      </c>
      <c r="C16" s="6" t="s">
        <v>92</v>
      </c>
      <c r="D16" s="33">
        <v>77.922523999999996</v>
      </c>
      <c r="E16" s="7">
        <v>57.749276999999999</v>
      </c>
      <c r="F16" s="7">
        <v>57.3</v>
      </c>
      <c r="G16" s="7">
        <v>58.1</v>
      </c>
      <c r="H16" s="7">
        <v>60.2</v>
      </c>
      <c r="I16" s="7">
        <v>55.4</v>
      </c>
      <c r="J16" s="7">
        <v>56.2</v>
      </c>
      <c r="K16" s="1"/>
    </row>
    <row r="17" spans="1:11" x14ac:dyDescent="0.3">
      <c r="A17" s="103"/>
      <c r="B17" s="14">
        <v>10</v>
      </c>
      <c r="C17" s="1" t="s">
        <v>18</v>
      </c>
      <c r="D17" s="1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1"/>
    </row>
    <row r="18" spans="1:11" x14ac:dyDescent="0.3">
      <c r="A18" s="103"/>
      <c r="B18" s="14">
        <v>15</v>
      </c>
      <c r="C18" s="6" t="s">
        <v>19</v>
      </c>
      <c r="D18" s="33">
        <v>404.1</v>
      </c>
      <c r="E18" s="7">
        <v>403</v>
      </c>
      <c r="F18" s="7">
        <v>400.8</v>
      </c>
      <c r="G18" s="7">
        <v>415</v>
      </c>
      <c r="H18" s="7">
        <v>478.8</v>
      </c>
      <c r="I18" s="7">
        <v>489.3</v>
      </c>
      <c r="J18" s="7">
        <v>492</v>
      </c>
      <c r="K18" s="1"/>
    </row>
    <row r="19" spans="1:11" x14ac:dyDescent="0.3">
      <c r="A19" s="103"/>
      <c r="B19" s="14">
        <v>18</v>
      </c>
      <c r="C19" s="1" t="s">
        <v>21</v>
      </c>
      <c r="D19" s="3">
        <v>186.46780000000001</v>
      </c>
      <c r="E19" s="3">
        <v>207.71870000000001</v>
      </c>
      <c r="F19" s="3">
        <v>189.029033</v>
      </c>
      <c r="G19" s="3">
        <v>194.4</v>
      </c>
      <c r="H19" s="3">
        <v>280.60000000000002</v>
      </c>
      <c r="I19" s="3">
        <v>274.89999999999998</v>
      </c>
      <c r="J19" s="3">
        <v>302.10000000000002</v>
      </c>
      <c r="K19" s="1"/>
    </row>
    <row r="20" spans="1:11" x14ac:dyDescent="0.3">
      <c r="A20" s="103"/>
      <c r="B20" s="14">
        <v>17</v>
      </c>
      <c r="C20" s="6" t="s">
        <v>22</v>
      </c>
      <c r="D20" s="7">
        <v>180.28149999999999</v>
      </c>
      <c r="E20" s="7">
        <v>180.24270000000001</v>
      </c>
      <c r="F20" s="7">
        <v>187.7</v>
      </c>
      <c r="G20" s="7">
        <v>190.2</v>
      </c>
      <c r="H20" s="7">
        <v>206.4</v>
      </c>
      <c r="I20" s="7">
        <v>210.3</v>
      </c>
      <c r="J20" s="7">
        <v>209.7</v>
      </c>
      <c r="K20" s="1"/>
    </row>
    <row r="21" spans="1:11" x14ac:dyDescent="0.3">
      <c r="A21" s="103"/>
      <c r="B21" s="14">
        <v>19</v>
      </c>
      <c r="C21" s="1" t="s">
        <v>88</v>
      </c>
      <c r="D21" s="32">
        <v>49.964759999999998</v>
      </c>
      <c r="E21" s="3">
        <v>51.833360999999996</v>
      </c>
      <c r="F21" s="3">
        <v>53.941074999999998</v>
      </c>
      <c r="G21" s="3">
        <v>54.3</v>
      </c>
      <c r="H21" s="3">
        <v>61</v>
      </c>
      <c r="I21" s="3">
        <v>65.5</v>
      </c>
      <c r="J21" s="3">
        <v>64.599999999999994</v>
      </c>
      <c r="K21" s="1"/>
    </row>
    <row r="22" spans="1:11" x14ac:dyDescent="0.3">
      <c r="A22" s="103"/>
      <c r="B22" s="14">
        <v>20</v>
      </c>
      <c r="C22" s="6" t="s">
        <v>87</v>
      </c>
      <c r="D22" s="33">
        <v>93.9</v>
      </c>
      <c r="E22" s="7">
        <v>91.8</v>
      </c>
      <c r="F22" s="7">
        <v>92.4</v>
      </c>
      <c r="G22" s="7">
        <v>92.3</v>
      </c>
      <c r="H22" s="7">
        <v>100</v>
      </c>
      <c r="I22" s="7">
        <v>115.6</v>
      </c>
      <c r="J22" s="7">
        <v>124.3</v>
      </c>
      <c r="K22" s="1"/>
    </row>
    <row r="23" spans="1:11" x14ac:dyDescent="0.3">
      <c r="A23" s="103"/>
      <c r="B23" s="14">
        <v>16</v>
      </c>
      <c r="C23" s="1" t="s">
        <v>20</v>
      </c>
      <c r="D23" s="32">
        <v>92.969052000000005</v>
      </c>
      <c r="E23" s="3">
        <v>98.211676999999995</v>
      </c>
      <c r="F23" s="3">
        <v>111.787404</v>
      </c>
      <c r="G23" s="3">
        <v>117.4</v>
      </c>
      <c r="H23" s="3">
        <v>118</v>
      </c>
      <c r="I23" s="3">
        <v>104.7</v>
      </c>
      <c r="J23" s="3">
        <v>107.5</v>
      </c>
      <c r="K23" s="1"/>
    </row>
    <row r="25" spans="1:11" x14ac:dyDescent="0.3">
      <c r="A25" s="9" t="s">
        <v>71</v>
      </c>
      <c r="B25" s="8"/>
      <c r="C25" s="9" t="s">
        <v>26</v>
      </c>
      <c r="D25" s="8">
        <v>15</v>
      </c>
      <c r="E25" s="8">
        <v>16</v>
      </c>
      <c r="F25" s="8">
        <v>17</v>
      </c>
      <c r="G25" s="8">
        <v>18</v>
      </c>
      <c r="H25" s="8">
        <v>19</v>
      </c>
      <c r="I25" s="8">
        <v>20</v>
      </c>
      <c r="J25" s="8" t="s">
        <v>3</v>
      </c>
      <c r="K25" s="8" t="s">
        <v>94</v>
      </c>
    </row>
    <row r="26" spans="1:11" x14ac:dyDescent="0.3">
      <c r="A26" s="6" t="s">
        <v>65</v>
      </c>
      <c r="B26" s="17" t="s">
        <v>27</v>
      </c>
      <c r="C26" s="6" t="s">
        <v>85</v>
      </c>
      <c r="D26" s="7">
        <f t="shared" ref="D26:J26" si="0">D4*D5</f>
        <v>101</v>
      </c>
      <c r="E26" s="7">
        <f t="shared" si="0"/>
        <v>101</v>
      </c>
      <c r="F26" s="7">
        <f t="shared" si="0"/>
        <v>101</v>
      </c>
      <c r="G26" s="7">
        <f t="shared" si="0"/>
        <v>90</v>
      </c>
      <c r="H26" s="7">
        <f t="shared" si="0"/>
        <v>98</v>
      </c>
      <c r="I26" s="7">
        <f t="shared" si="0"/>
        <v>80</v>
      </c>
      <c r="J26" s="7">
        <f t="shared" si="0"/>
        <v>30</v>
      </c>
      <c r="K26" s="1"/>
    </row>
    <row r="27" spans="1:11" x14ac:dyDescent="0.3">
      <c r="A27" s="1" t="s">
        <v>66</v>
      </c>
      <c r="B27" s="2" t="s">
        <v>28</v>
      </c>
      <c r="C27" s="1" t="s">
        <v>47</v>
      </c>
      <c r="D27" s="30">
        <f t="shared" ref="D27:H27" si="1">D26/D6</f>
        <v>0.1460672286654871</v>
      </c>
      <c r="E27" s="30">
        <f t="shared" si="1"/>
        <v>0.14415459744193526</v>
      </c>
      <c r="F27" s="30">
        <f t="shared" si="1"/>
        <v>0.14372947792091514</v>
      </c>
      <c r="G27" s="30">
        <f t="shared" si="1"/>
        <v>0.12764146929513545</v>
      </c>
      <c r="H27" s="30">
        <f t="shared" si="1"/>
        <v>0.12798746245265769</v>
      </c>
      <c r="I27" s="30">
        <f t="shared" ref="I27" si="2">I26/I6</f>
        <v>0.10434328942219903</v>
      </c>
      <c r="J27" s="30"/>
      <c r="K27" s="1"/>
    </row>
    <row r="28" spans="1:11" x14ac:dyDescent="0.3">
      <c r="A28" s="6" t="s">
        <v>67</v>
      </c>
      <c r="B28" s="17" t="s">
        <v>29</v>
      </c>
      <c r="C28" s="6" t="s">
        <v>48</v>
      </c>
      <c r="D28" s="29">
        <f t="shared" ref="D28:H28" si="3">D26/D7</f>
        <v>2.3218390804597702</v>
      </c>
      <c r="E28" s="29">
        <f t="shared" si="3"/>
        <v>2.8774928774928772</v>
      </c>
      <c r="F28" s="29">
        <f t="shared" si="3"/>
        <v>2.6861702127659575</v>
      </c>
      <c r="G28" s="29">
        <f t="shared" si="3"/>
        <v>3.1358885017421603</v>
      </c>
      <c r="H28" s="29">
        <f t="shared" si="3"/>
        <v>2.0289855072463769</v>
      </c>
      <c r="I28" s="29">
        <f t="shared" ref="I28" si="4">I26/I7</f>
        <v>5.3691275167785237</v>
      </c>
      <c r="J28" s="29"/>
      <c r="K28" s="1"/>
    </row>
    <row r="29" spans="1:11" x14ac:dyDescent="0.3">
      <c r="A29" s="15" t="s">
        <v>68</v>
      </c>
      <c r="B29" s="2" t="s">
        <v>30</v>
      </c>
      <c r="C29" s="1" t="s">
        <v>49</v>
      </c>
      <c r="D29" s="3">
        <f t="shared" ref="D29" si="5">D15-D14</f>
        <v>179.572801</v>
      </c>
      <c r="E29" s="3">
        <f t="shared" ref="E29:H29" si="6">E15-E14</f>
        <v>194.941227</v>
      </c>
      <c r="F29" s="3">
        <f t="shared" si="6"/>
        <v>133.5</v>
      </c>
      <c r="G29" s="3">
        <f t="shared" si="6"/>
        <v>200.2</v>
      </c>
      <c r="H29" s="3">
        <f t="shared" si="6"/>
        <v>233</v>
      </c>
      <c r="I29" s="3">
        <f t="shared" ref="I29" si="7">I15-I14</f>
        <v>245.4</v>
      </c>
      <c r="J29" s="3"/>
      <c r="K29" s="1"/>
    </row>
    <row r="30" spans="1:11" x14ac:dyDescent="0.3">
      <c r="A30" s="6" t="s">
        <v>69</v>
      </c>
      <c r="B30" s="17" t="s">
        <v>31</v>
      </c>
      <c r="C30" s="6" t="s">
        <v>50</v>
      </c>
      <c r="D30" s="7">
        <f t="shared" ref="D30" si="8">D26+D29+D16+D17</f>
        <v>358.49532500000004</v>
      </c>
      <c r="E30" s="7">
        <f t="shared" ref="E30:H30" si="9">E26+E29+E16+E17</f>
        <v>353.69050400000003</v>
      </c>
      <c r="F30" s="7">
        <f t="shared" si="9"/>
        <v>291.8</v>
      </c>
      <c r="G30" s="7">
        <f t="shared" si="9"/>
        <v>348.3</v>
      </c>
      <c r="H30" s="7">
        <f t="shared" si="9"/>
        <v>391.2</v>
      </c>
      <c r="I30" s="7">
        <f t="shared" ref="I30" si="10">I26+I29+I16+I17</f>
        <v>380.79999999999995</v>
      </c>
      <c r="J30" s="7"/>
      <c r="K30" s="1"/>
    </row>
    <row r="31" spans="1:11" x14ac:dyDescent="0.3">
      <c r="A31" s="1" t="s">
        <v>70</v>
      </c>
      <c r="B31" s="2" t="s">
        <v>32</v>
      </c>
      <c r="C31" s="1" t="s">
        <v>51</v>
      </c>
      <c r="D31" s="30">
        <f t="shared" ref="D31" si="11">D30/D7</f>
        <v>8.2412718390804613</v>
      </c>
      <c r="E31" s="30">
        <f t="shared" ref="E31:H31" si="12">E30/E7</f>
        <v>10.076652535612537</v>
      </c>
      <c r="F31" s="30">
        <f t="shared" si="12"/>
        <v>7.7606382978723403</v>
      </c>
      <c r="G31" s="30">
        <f t="shared" si="12"/>
        <v>12.13588850174216</v>
      </c>
      <c r="H31" s="30">
        <f t="shared" si="12"/>
        <v>8.0993788819875778</v>
      </c>
      <c r="I31" s="30">
        <f t="shared" ref="I31" si="13">I30/I7</f>
        <v>25.557046979865767</v>
      </c>
      <c r="J31" s="30"/>
      <c r="K31" s="1"/>
    </row>
    <row r="32" spans="1:11" x14ac:dyDescent="0.3">
      <c r="A32" s="18" t="s">
        <v>72</v>
      </c>
      <c r="B32" s="17" t="s">
        <v>33</v>
      </c>
      <c r="C32" s="6" t="s">
        <v>109</v>
      </c>
      <c r="D32" s="27">
        <f t="shared" ref="D32" si="14">D7/D6</f>
        <v>6.2910143039095923E-2</v>
      </c>
      <c r="E32" s="27">
        <f t="shared" ref="E32:H32" si="15">E7/E6</f>
        <v>5.0097290794177504E-2</v>
      </c>
      <c r="F32" s="27">
        <f t="shared" si="15"/>
        <v>5.3507211582439693E-2</v>
      </c>
      <c r="G32" s="27">
        <f t="shared" si="15"/>
        <v>4.0703446319670968E-2</v>
      </c>
      <c r="H32" s="27">
        <f t="shared" si="15"/>
        <v>6.3079535065952722E-2</v>
      </c>
      <c r="I32" s="27">
        <f t="shared" ref="I32" si="16">I7/I6</f>
        <v>1.9433937654884569E-2</v>
      </c>
      <c r="J32" s="27"/>
      <c r="K32" s="1"/>
    </row>
    <row r="33" spans="1:11" x14ac:dyDescent="0.3">
      <c r="A33" s="16" t="s">
        <v>73</v>
      </c>
      <c r="B33" s="2" t="s">
        <v>34</v>
      </c>
      <c r="C33" s="1" t="s">
        <v>110</v>
      </c>
      <c r="D33" s="28">
        <f t="shared" ref="D33" si="17">D8/D6</f>
        <v>5.2759772236010902E-2</v>
      </c>
      <c r="E33" s="28">
        <f t="shared" ref="E33:H33" si="18">E8/E6</f>
        <v>4.178613597869104E-2</v>
      </c>
      <c r="F33" s="28">
        <f t="shared" si="18"/>
        <v>4.3414628680386813E-2</v>
      </c>
      <c r="G33" s="28">
        <f t="shared" si="18"/>
        <v>2.8222947099702168E-2</v>
      </c>
      <c r="H33" s="28">
        <f t="shared" si="18"/>
        <v>4.3359017892124853E-2</v>
      </c>
      <c r="I33" s="28">
        <f t="shared" ref="I33" si="19">I8/I6</f>
        <v>-1.3042911177774878E-4</v>
      </c>
      <c r="J33" s="28"/>
      <c r="K33" s="1"/>
    </row>
    <row r="34" spans="1:11" x14ac:dyDescent="0.3">
      <c r="A34" s="18" t="s">
        <v>74</v>
      </c>
      <c r="B34" s="17" t="s">
        <v>35</v>
      </c>
      <c r="C34" s="6" t="s">
        <v>54</v>
      </c>
      <c r="D34" s="27">
        <f t="shared" ref="D34" si="20">D11/D10</f>
        <v>0.29123392406823012</v>
      </c>
      <c r="E34" s="27">
        <f t="shared" ref="E34:H34" si="21">E11/E10</f>
        <v>0.27707178211079819</v>
      </c>
      <c r="F34" s="27">
        <f t="shared" si="21"/>
        <v>0.18777292576419213</v>
      </c>
      <c r="G34" s="27">
        <f t="shared" si="21"/>
        <v>0.24390243902439024</v>
      </c>
      <c r="H34" s="27">
        <f t="shared" si="21"/>
        <v>0.28404669260700388</v>
      </c>
      <c r="I34" s="27">
        <f t="shared" ref="I34" si="22">I11/I10</f>
        <v>0.21951219512195125</v>
      </c>
      <c r="J34" s="27"/>
      <c r="K34" s="1"/>
    </row>
    <row r="35" spans="1:11" x14ac:dyDescent="0.3">
      <c r="A35" s="16" t="s">
        <v>75</v>
      </c>
      <c r="B35" s="2" t="s">
        <v>36</v>
      </c>
      <c r="C35" s="1" t="s">
        <v>108</v>
      </c>
      <c r="D35" s="28">
        <f t="shared" ref="D35" si="23">D12/D6</f>
        <v>4.9894251375834704E-2</v>
      </c>
      <c r="E35" s="28">
        <f t="shared" ref="E35:H35" si="24">E12/E6</f>
        <v>9.5627307213957055E-3</v>
      </c>
      <c r="F35" s="28">
        <f t="shared" si="24"/>
        <v>1.6222931171271611E-2</v>
      </c>
      <c r="G35" s="28">
        <f t="shared" si="24"/>
        <v>3.9710679336264357E-3</v>
      </c>
      <c r="H35" s="28">
        <f t="shared" si="24"/>
        <v>1.6716729789734885E-2</v>
      </c>
      <c r="I35" s="28">
        <f t="shared" ref="I35" si="25">I12/I6</f>
        <v>-1.9825224990217813E-2</v>
      </c>
      <c r="J35" s="28"/>
      <c r="K35" s="1"/>
    </row>
    <row r="36" spans="1:11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2.9275362318840581</v>
      </c>
      <c r="E36" s="29">
        <f t="shared" ref="E36:H36" si="26">IF(E26/E12&lt;0,0,E26/E12)</f>
        <v>15.074626865671641</v>
      </c>
      <c r="F36" s="29">
        <f t="shared" si="26"/>
        <v>8.8596491228070171</v>
      </c>
      <c r="G36" s="29">
        <f t="shared" si="26"/>
        <v>32.142857142857146</v>
      </c>
      <c r="H36" s="29">
        <f t="shared" si="26"/>
        <v>7.65625</v>
      </c>
      <c r="I36" s="29">
        <f t="shared" ref="I36" si="27">IF(I26/I12&lt;0,0,I26/I12)</f>
        <v>0</v>
      </c>
      <c r="J36" s="29"/>
      <c r="K36" s="1"/>
    </row>
    <row r="37" spans="1:11" x14ac:dyDescent="0.3">
      <c r="A37" s="16" t="s">
        <v>77</v>
      </c>
      <c r="B37" s="2" t="s">
        <v>38</v>
      </c>
      <c r="C37" s="1" t="s">
        <v>57</v>
      </c>
      <c r="D37" s="30">
        <f t="shared" ref="D37" si="28">D26/D23</f>
        <v>1.0863830256115765</v>
      </c>
      <c r="E37" s="30">
        <f t="shared" ref="E37:H37" si="29">E26/E23</f>
        <v>1.0283909519231609</v>
      </c>
      <c r="F37" s="30">
        <f t="shared" si="29"/>
        <v>0.90350071999167281</v>
      </c>
      <c r="G37" s="30">
        <f t="shared" si="29"/>
        <v>0.76660988074957404</v>
      </c>
      <c r="H37" s="30">
        <f t="shared" si="29"/>
        <v>0.83050847457627119</v>
      </c>
      <c r="I37" s="30">
        <f t="shared" ref="I37" si="30">I26/I23</f>
        <v>0.76408787010506207</v>
      </c>
      <c r="J37" s="30"/>
      <c r="K37" s="1"/>
    </row>
    <row r="38" spans="1:11" x14ac:dyDescent="0.3">
      <c r="A38" s="18" t="s">
        <v>78</v>
      </c>
      <c r="B38" s="17" t="s">
        <v>39</v>
      </c>
      <c r="C38" s="6" t="s">
        <v>106</v>
      </c>
      <c r="D38" s="55">
        <f t="shared" ref="D38" si="31">D8/D23</f>
        <v>0.39240370010441755</v>
      </c>
      <c r="E38" s="55">
        <f t="shared" ref="E38:H38" si="32">E8/E23</f>
        <v>0.29809999069662563</v>
      </c>
      <c r="F38" s="55">
        <f t="shared" si="32"/>
        <v>0.2729095578603829</v>
      </c>
      <c r="G38" s="55">
        <f t="shared" si="32"/>
        <v>0.16950596252129471</v>
      </c>
      <c r="H38" s="55">
        <f t="shared" si="32"/>
        <v>0.28135593220338984</v>
      </c>
      <c r="I38" s="55">
        <f t="shared" ref="I38" si="33">I8/I23</f>
        <v>-9.5510983763132768E-4</v>
      </c>
      <c r="J38" s="55"/>
      <c r="K38" s="1"/>
    </row>
    <row r="39" spans="1:11" x14ac:dyDescent="0.3">
      <c r="A39" s="16" t="s">
        <v>79</v>
      </c>
      <c r="B39" s="2" t="s">
        <v>40</v>
      </c>
      <c r="C39" s="1" t="s">
        <v>107</v>
      </c>
      <c r="D39" s="56">
        <f t="shared" ref="D39" si="34">D12/D23</f>
        <v>0.37109123152078605</v>
      </c>
      <c r="E39" s="56">
        <f t="shared" ref="E39:H39" si="35">E12/E23</f>
        <v>6.8219993840447302E-2</v>
      </c>
      <c r="F39" s="56">
        <f t="shared" si="35"/>
        <v>0.10197928918717891</v>
      </c>
      <c r="G39" s="56">
        <f t="shared" si="35"/>
        <v>2.3850085178875637E-2</v>
      </c>
      <c r="H39" s="56">
        <f t="shared" si="35"/>
        <v>0.10847457627118645</v>
      </c>
      <c r="I39" s="56">
        <f t="shared" ref="I39" si="36">I12/I23</f>
        <v>-0.14517669531996177</v>
      </c>
      <c r="J39" s="56"/>
      <c r="K39" s="1"/>
    </row>
    <row r="40" spans="1:11" x14ac:dyDescent="0.3">
      <c r="A40" s="18" t="s">
        <v>80</v>
      </c>
      <c r="B40" s="17" t="s">
        <v>41</v>
      </c>
      <c r="C40" s="6" t="s">
        <v>61</v>
      </c>
      <c r="D40" s="7">
        <f t="shared" ref="D40" si="37">D20-D19</f>
        <v>-6.186300000000017</v>
      </c>
      <c r="E40" s="7">
        <f t="shared" ref="E40:H40" si="38">E20-E19</f>
        <v>-27.475999999999999</v>
      </c>
      <c r="F40" s="7">
        <f t="shared" si="38"/>
        <v>-1.3290330000000097</v>
      </c>
      <c r="G40" s="7">
        <f t="shared" si="38"/>
        <v>-4.2000000000000171</v>
      </c>
      <c r="H40" s="7">
        <f t="shared" si="38"/>
        <v>-74.200000000000017</v>
      </c>
      <c r="I40" s="7">
        <f t="shared" ref="I40" si="39">I20-I19</f>
        <v>-64.599999999999966</v>
      </c>
      <c r="J40" s="7"/>
      <c r="K40" s="1"/>
    </row>
    <row r="41" spans="1:11" x14ac:dyDescent="0.3">
      <c r="A41" s="53" t="s">
        <v>96</v>
      </c>
      <c r="B41" s="49" t="s">
        <v>42</v>
      </c>
      <c r="C41" s="52" t="s">
        <v>98</v>
      </c>
      <c r="D41" s="29">
        <f t="shared" ref="D41" si="40">D20/D19</f>
        <v>0.96682376260137126</v>
      </c>
      <c r="E41" s="29">
        <f t="shared" ref="E41:H41" si="41">E20/E19</f>
        <v>0.8677249568767762</v>
      </c>
      <c r="F41" s="29">
        <f t="shared" si="41"/>
        <v>0.99296915939891617</v>
      </c>
      <c r="G41" s="29">
        <f t="shared" si="41"/>
        <v>0.97839506172839497</v>
      </c>
      <c r="H41" s="29">
        <f t="shared" si="41"/>
        <v>0.73556664290805418</v>
      </c>
      <c r="I41" s="29">
        <f t="shared" ref="I41" si="42">I20/I19</f>
        <v>0.76500545652964724</v>
      </c>
      <c r="J41" s="29"/>
      <c r="K41" s="1"/>
    </row>
    <row r="42" spans="1:11" x14ac:dyDescent="0.3">
      <c r="A42" s="16" t="s">
        <v>81</v>
      </c>
      <c r="B42" s="17" t="s">
        <v>43</v>
      </c>
      <c r="C42" s="1" t="s">
        <v>60</v>
      </c>
      <c r="D42" s="30">
        <f t="shared" ref="D42" si="43">(D20-D21)/D19</f>
        <v>0.69886993893851901</v>
      </c>
      <c r="E42" s="30">
        <f t="shared" ref="E42:H42" si="44">(E20-E21)/E19</f>
        <v>0.61818863202975949</v>
      </c>
      <c r="F42" s="30">
        <f t="shared" si="44"/>
        <v>0.70761048118994496</v>
      </c>
      <c r="G42" s="30">
        <f t="shared" si="44"/>
        <v>0.69907407407407396</v>
      </c>
      <c r="H42" s="30">
        <f t="shared" si="44"/>
        <v>0.51817533856022802</v>
      </c>
      <c r="I42" s="30">
        <f t="shared" ref="I42" si="45">(I20-I21)/I19</f>
        <v>0.5267369952710077</v>
      </c>
      <c r="J42" s="30"/>
      <c r="K42" s="1"/>
    </row>
    <row r="43" spans="1:11" x14ac:dyDescent="0.3">
      <c r="A43" s="18" t="s">
        <v>82</v>
      </c>
      <c r="B43" s="49" t="s">
        <v>44</v>
      </c>
      <c r="C43" s="6" t="s">
        <v>62</v>
      </c>
      <c r="D43" s="29">
        <f t="shared" ref="D43" si="46">D14/D19</f>
        <v>8.3660556943343567E-2</v>
      </c>
      <c r="E43" s="29">
        <f t="shared" ref="E43:H43" si="47">E14/E19</f>
        <v>7.3657306732614822E-2</v>
      </c>
      <c r="F43" s="29">
        <f t="shared" si="47"/>
        <v>9.8926602454766824E-2</v>
      </c>
      <c r="G43" s="29">
        <f t="shared" si="47"/>
        <v>0.11316872427983539</v>
      </c>
      <c r="H43" s="29">
        <f t="shared" si="47"/>
        <v>6.2009978617248745E-2</v>
      </c>
      <c r="I43" s="29">
        <f t="shared" ref="I43" si="48">I14/I19</f>
        <v>0.10331029465260094</v>
      </c>
      <c r="J43" s="29"/>
      <c r="K43" s="1"/>
    </row>
    <row r="44" spans="1:11" x14ac:dyDescent="0.3">
      <c r="A44" s="16" t="s">
        <v>83</v>
      </c>
      <c r="B44" s="17" t="s">
        <v>45</v>
      </c>
      <c r="C44" s="1" t="s">
        <v>63</v>
      </c>
      <c r="D44" s="30">
        <f t="shared" ref="D44" si="49">D29/D7</f>
        <v>4.1281103678160918</v>
      </c>
      <c r="E44" s="30">
        <f t="shared" ref="E44:H44" si="50">E29/E7</f>
        <v>5.553881111111111</v>
      </c>
      <c r="F44" s="30">
        <f t="shared" si="50"/>
        <v>3.5505319148936167</v>
      </c>
      <c r="G44" s="30">
        <f t="shared" si="50"/>
        <v>6.975609756097561</v>
      </c>
      <c r="H44" s="30">
        <f t="shared" si="50"/>
        <v>4.8240165631469978</v>
      </c>
      <c r="I44" s="30">
        <f t="shared" ref="I44" si="51">I29/I7</f>
        <v>16.469798657718123</v>
      </c>
      <c r="J44" s="30"/>
      <c r="K44" s="1"/>
    </row>
    <row r="45" spans="1:11" x14ac:dyDescent="0.3">
      <c r="A45" s="18" t="s">
        <v>84</v>
      </c>
      <c r="B45" s="54" t="s">
        <v>99</v>
      </c>
      <c r="C45" s="6" t="s">
        <v>64</v>
      </c>
      <c r="D45" s="29">
        <f t="shared" ref="D45" si="52">D18/D23</f>
        <v>4.3466077292043375</v>
      </c>
      <c r="E45" s="29">
        <f t="shared" ref="E45:H45" si="53">E18/E23</f>
        <v>4.1033817190597413</v>
      </c>
      <c r="F45" s="29">
        <f t="shared" si="53"/>
        <v>3.5853771145808166</v>
      </c>
      <c r="G45" s="29">
        <f t="shared" si="53"/>
        <v>3.5349233390119248</v>
      </c>
      <c r="H45" s="29">
        <f t="shared" si="53"/>
        <v>4.057627118644068</v>
      </c>
      <c r="I45" s="29">
        <f t="shared" ref="I45" si="54">I18/I23</f>
        <v>4.6733524355300862</v>
      </c>
      <c r="J45" s="29"/>
      <c r="K45" s="1"/>
    </row>
    <row r="46" spans="1:11" x14ac:dyDescent="0.3">
      <c r="A46" s="18" t="s">
        <v>97</v>
      </c>
      <c r="B46" s="17" t="s">
        <v>100</v>
      </c>
      <c r="C46" s="6" t="s">
        <v>111</v>
      </c>
      <c r="D46" s="28">
        <f t="shared" ref="D46" si="55">D13/D4</f>
        <v>0</v>
      </c>
      <c r="E46" s="28">
        <f t="shared" ref="E46:J46" si="56">E13/E4</f>
        <v>0</v>
      </c>
      <c r="F46" s="28">
        <f t="shared" si="56"/>
        <v>0</v>
      </c>
      <c r="G46" s="28">
        <f t="shared" si="56"/>
        <v>0</v>
      </c>
      <c r="H46" s="28">
        <f t="shared" si="56"/>
        <v>0</v>
      </c>
      <c r="I46" s="28">
        <f t="shared" si="56"/>
        <v>0</v>
      </c>
      <c r="J46" s="28">
        <f t="shared" si="56"/>
        <v>0</v>
      </c>
      <c r="K46" s="1"/>
    </row>
  </sheetData>
  <mergeCells count="3">
    <mergeCell ref="A6:A13"/>
    <mergeCell ref="A14:A23"/>
    <mergeCell ref="H2:J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B1BA8-F90C-481D-8ABB-121B7C25CD7C}">
  <sheetPr codeName="Planilha17"/>
  <dimension ref="A2:AC46"/>
  <sheetViews>
    <sheetView workbookViewId="0">
      <pane xSplit="3" ySplit="3" topLeftCell="O4" activePane="bottomRight" state="frozen"/>
      <selection activeCell="C22" sqref="C22"/>
      <selection pane="topRight" activeCell="C22" sqref="C22"/>
      <selection pane="bottomLeft" activeCell="C22" sqref="C22"/>
      <selection pane="bottomRight" activeCell="AG35" sqref="AG35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28" width="8.33203125" customWidth="1"/>
  </cols>
  <sheetData>
    <row r="2" spans="1:29" x14ac:dyDescent="0.3">
      <c r="Y2" s="104" t="s">
        <v>102</v>
      </c>
      <c r="Z2" s="104"/>
      <c r="AA2" s="104"/>
      <c r="AB2" s="107"/>
    </row>
    <row r="3" spans="1:29" s="10" customFormat="1" x14ac:dyDescent="0.3">
      <c r="A3" s="9" t="s">
        <v>25</v>
      </c>
      <c r="B3" s="8" t="s">
        <v>23</v>
      </c>
      <c r="C3" s="9" t="s">
        <v>24</v>
      </c>
      <c r="D3" s="8">
        <v>97</v>
      </c>
      <c r="E3" s="8">
        <v>98</v>
      </c>
      <c r="F3" s="8">
        <v>99</v>
      </c>
      <c r="G3" s="8">
        <v>2000</v>
      </c>
      <c r="H3" s="8">
        <v>1</v>
      </c>
      <c r="I3" s="8">
        <v>2</v>
      </c>
      <c r="J3" s="8">
        <v>3</v>
      </c>
      <c r="K3" s="8">
        <v>4</v>
      </c>
      <c r="L3" s="8">
        <v>5</v>
      </c>
      <c r="M3" s="8">
        <v>6</v>
      </c>
      <c r="N3" s="8">
        <v>7</v>
      </c>
      <c r="O3" s="8">
        <v>8</v>
      </c>
      <c r="P3" s="8">
        <v>9</v>
      </c>
      <c r="Q3" s="8">
        <v>10</v>
      </c>
      <c r="R3" s="8">
        <v>11</v>
      </c>
      <c r="S3" s="8">
        <v>12</v>
      </c>
      <c r="T3" s="8">
        <v>13</v>
      </c>
      <c r="U3" s="8">
        <v>14</v>
      </c>
      <c r="V3" s="8">
        <v>15</v>
      </c>
      <c r="W3" s="8">
        <v>16</v>
      </c>
      <c r="X3" s="8">
        <v>17</v>
      </c>
      <c r="Y3" s="8">
        <v>18</v>
      </c>
      <c r="Z3" s="8">
        <v>19</v>
      </c>
      <c r="AA3" s="8">
        <v>20</v>
      </c>
      <c r="AB3" s="8" t="s">
        <v>3</v>
      </c>
      <c r="AC3" s="8" t="s">
        <v>94</v>
      </c>
    </row>
    <row r="4" spans="1:29" x14ac:dyDescent="0.3">
      <c r="A4" s="4" t="s">
        <v>5</v>
      </c>
      <c r="B4" s="11">
        <v>1</v>
      </c>
      <c r="C4" s="6" t="s">
        <v>4</v>
      </c>
      <c r="D4" s="19">
        <v>7.64</v>
      </c>
      <c r="E4" s="19">
        <v>4.96</v>
      </c>
      <c r="F4" s="19">
        <v>4.47</v>
      </c>
      <c r="G4" s="19">
        <v>3.83</v>
      </c>
      <c r="H4" s="19">
        <v>2.5499999999999998</v>
      </c>
      <c r="I4" s="19">
        <v>3.31</v>
      </c>
      <c r="J4" s="19">
        <v>3.2</v>
      </c>
      <c r="K4" s="19">
        <v>2.54</v>
      </c>
      <c r="L4" s="19">
        <v>2.64</v>
      </c>
      <c r="M4" s="19">
        <v>2.5299999999999998</v>
      </c>
      <c r="N4" s="19">
        <v>2.0099999999999998</v>
      </c>
      <c r="O4" s="19">
        <v>1.4</v>
      </c>
      <c r="P4" s="19">
        <v>1.32</v>
      </c>
      <c r="Q4" s="19">
        <v>0.9</v>
      </c>
      <c r="R4" s="19">
        <v>0.48</v>
      </c>
      <c r="S4" s="19">
        <v>0.22</v>
      </c>
      <c r="T4" s="19">
        <v>0.39</v>
      </c>
      <c r="U4" s="19">
        <v>0.56999999999999995</v>
      </c>
      <c r="V4" s="19">
        <v>0.7</v>
      </c>
      <c r="W4" s="19">
        <v>0.69</v>
      </c>
      <c r="X4" s="19">
        <v>0.66</v>
      </c>
      <c r="Y4" s="19">
        <v>0.7</v>
      </c>
      <c r="Z4" s="19">
        <v>0.65</v>
      </c>
      <c r="AA4" s="19">
        <v>0.73</v>
      </c>
      <c r="AB4" s="19">
        <v>0.77</v>
      </c>
      <c r="AC4" s="1">
        <v>0.99</v>
      </c>
    </row>
    <row r="5" spans="1:29" x14ac:dyDescent="0.3">
      <c r="A5" s="5" t="s">
        <v>8</v>
      </c>
      <c r="B5" s="12">
        <v>3</v>
      </c>
      <c r="C5" s="1" t="s">
        <v>86</v>
      </c>
      <c r="D5" s="3"/>
      <c r="E5" s="3"/>
      <c r="F5" s="3">
        <v>5</v>
      </c>
      <c r="G5" s="3">
        <v>5</v>
      </c>
      <c r="H5" s="3">
        <v>5</v>
      </c>
      <c r="I5" s="3">
        <v>15</v>
      </c>
      <c r="J5" s="3">
        <v>15</v>
      </c>
      <c r="K5" s="3">
        <v>15</v>
      </c>
      <c r="L5" s="3">
        <v>15</v>
      </c>
      <c r="M5" s="3">
        <v>15</v>
      </c>
      <c r="N5" s="3">
        <v>15</v>
      </c>
      <c r="O5" s="3">
        <v>15</v>
      </c>
      <c r="P5" s="3">
        <v>15</v>
      </c>
      <c r="Q5" s="3">
        <v>15</v>
      </c>
      <c r="R5" s="3">
        <v>15</v>
      </c>
      <c r="S5" s="3">
        <v>15</v>
      </c>
      <c r="T5" s="3">
        <v>15</v>
      </c>
      <c r="U5" s="50">
        <v>22.5</v>
      </c>
      <c r="V5" s="50">
        <v>22.5</v>
      </c>
      <c r="W5" s="50">
        <v>22.5</v>
      </c>
      <c r="X5" s="50">
        <v>22.5</v>
      </c>
      <c r="Y5" s="50">
        <v>22.5</v>
      </c>
      <c r="Z5" s="50">
        <v>22.5</v>
      </c>
      <c r="AA5" s="50">
        <v>22.5</v>
      </c>
      <c r="AB5" s="50">
        <v>22.5</v>
      </c>
      <c r="AC5" s="50">
        <v>22.5</v>
      </c>
    </row>
    <row r="6" spans="1:29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>
        <f>(9069053*5)/1000000</f>
        <v>45.345264999999998</v>
      </c>
      <c r="H6" s="7">
        <f>(31899546/1000000)</f>
        <v>31.899546000000001</v>
      </c>
      <c r="I6" s="7">
        <v>48.931092</v>
      </c>
      <c r="J6" s="7">
        <v>53.587049999999998</v>
      </c>
      <c r="K6" s="7">
        <v>46.275888000000002</v>
      </c>
      <c r="L6" s="7">
        <v>46.198222999999999</v>
      </c>
      <c r="M6" s="7">
        <v>46.198222999999999</v>
      </c>
      <c r="N6" s="7">
        <v>54.942005999999999</v>
      </c>
      <c r="O6" s="7">
        <v>68.143494000000004</v>
      </c>
      <c r="P6" s="7">
        <v>57.612676999999998</v>
      </c>
      <c r="Q6" s="7">
        <f>2.466963+54.891593+0.254121</f>
        <v>57.612676999999998</v>
      </c>
      <c r="R6" s="7">
        <f>3.218502+71.029643+15.566462</f>
        <v>89.814606999999995</v>
      </c>
      <c r="S6" s="7">
        <f>3.166269+68.058465+0.959598</f>
        <v>72.184331999999998</v>
      </c>
      <c r="T6" s="7">
        <f>2.785715+74.550782+1.104858</f>
        <v>78.441354999999987</v>
      </c>
      <c r="U6" s="7">
        <f>3.720078+66.978193+1.914559</f>
        <v>72.612830000000002</v>
      </c>
      <c r="V6" s="7">
        <v>93.6</v>
      </c>
      <c r="W6" s="7">
        <v>75.8</v>
      </c>
      <c r="X6" s="7">
        <v>99</v>
      </c>
      <c r="Y6" s="7">
        <v>105.8</v>
      </c>
      <c r="Z6" s="7">
        <v>176.3</v>
      </c>
      <c r="AA6" s="7">
        <v>87.3</v>
      </c>
      <c r="AB6" s="7">
        <v>153.6</v>
      </c>
      <c r="AC6" s="1"/>
    </row>
    <row r="7" spans="1:29" x14ac:dyDescent="0.3">
      <c r="A7" s="101"/>
      <c r="B7" s="13">
        <v>5</v>
      </c>
      <c r="C7" s="1" t="s">
        <v>9</v>
      </c>
      <c r="D7" s="3"/>
      <c r="E7" s="3"/>
      <c r="F7" s="3"/>
      <c r="G7" s="3">
        <f>G8+(1733617*5/1000000)</f>
        <v>9.7656399999999994</v>
      </c>
      <c r="H7" s="3">
        <f>H8+(15474970/1000000)</f>
        <v>35.707660000000004</v>
      </c>
      <c r="I7" s="3">
        <f>I8+17.682449</f>
        <v>-0.86569000000000074</v>
      </c>
      <c r="J7" s="3">
        <f>J8+19.177018</f>
        <v>2.7648429999999991</v>
      </c>
      <c r="K7" s="3">
        <f>K8+0.775474</f>
        <v>2.3713199999999999</v>
      </c>
      <c r="L7" s="3">
        <f>L8+0.82821</f>
        <v>-25.060237000000001</v>
      </c>
      <c r="M7" s="3">
        <f>M8+0.82821</f>
        <v>-25.060237000000001</v>
      </c>
      <c r="N7" s="3">
        <f>N8+0.895337</f>
        <v>10.314354</v>
      </c>
      <c r="O7" s="3">
        <f>O8+0.964835</f>
        <v>12.134466000000002</v>
      </c>
      <c r="P7" s="3">
        <f>P8+0.916105</f>
        <v>3.7696890000000001</v>
      </c>
      <c r="Q7" s="3">
        <f>Q8+0.916105</f>
        <v>3.7696890000000001</v>
      </c>
      <c r="R7" s="3">
        <f>R8+0.944526</f>
        <v>7.9213209999999998</v>
      </c>
      <c r="S7" s="3">
        <f>S8+0.851929</f>
        <v>-25.589378</v>
      </c>
      <c r="T7" s="3">
        <f>T8+0.716489</f>
        <v>32.491304</v>
      </c>
      <c r="U7" s="3">
        <f>U8+0.559339</f>
        <v>-25.226959999999998</v>
      </c>
      <c r="V7" s="3">
        <v>67.400000000000006</v>
      </c>
      <c r="W7" s="3">
        <v>-8</v>
      </c>
      <c r="X7" s="3">
        <v>22.2</v>
      </c>
      <c r="Y7" s="3">
        <v>26.7</v>
      </c>
      <c r="Z7" s="3">
        <v>72.8</v>
      </c>
      <c r="AA7" s="3">
        <v>-52.7</v>
      </c>
      <c r="AB7" s="3">
        <v>92.9</v>
      </c>
      <c r="AC7" s="1"/>
    </row>
    <row r="8" spans="1:29" x14ac:dyDescent="0.3">
      <c r="A8" s="101"/>
      <c r="B8" s="13">
        <v>6</v>
      </c>
      <c r="C8" s="6" t="s">
        <v>10</v>
      </c>
      <c r="D8" s="7"/>
      <c r="E8" s="7"/>
      <c r="F8" s="7"/>
      <c r="G8" s="7">
        <f>219511*5/1000000</f>
        <v>1.0975550000000001</v>
      </c>
      <c r="H8" s="7">
        <f>20232690/1000000</f>
        <v>20.232690000000002</v>
      </c>
      <c r="I8" s="7">
        <v>-18.548138999999999</v>
      </c>
      <c r="J8" s="7">
        <v>-16.412175000000001</v>
      </c>
      <c r="K8" s="7">
        <v>1.5958460000000001</v>
      </c>
      <c r="L8" s="7">
        <v>-25.888446999999999</v>
      </c>
      <c r="M8" s="7">
        <v>-25.888446999999999</v>
      </c>
      <c r="N8" s="7">
        <v>9.4190170000000002</v>
      </c>
      <c r="O8" s="7">
        <v>11.169631000000001</v>
      </c>
      <c r="P8" s="7">
        <v>2.8535840000000001</v>
      </c>
      <c r="Q8" s="7">
        <v>2.8535840000000001</v>
      </c>
      <c r="R8" s="7">
        <v>6.9767950000000001</v>
      </c>
      <c r="S8" s="7">
        <v>-26.441306999999998</v>
      </c>
      <c r="T8" s="7">
        <v>31.774815</v>
      </c>
      <c r="U8" s="7">
        <v>-25.786299</v>
      </c>
      <c r="V8" s="7">
        <v>34.4</v>
      </c>
      <c r="W8" s="7">
        <v>-41.512402000000002</v>
      </c>
      <c r="X8" s="7">
        <v>-18.370424</v>
      </c>
      <c r="Y8" s="7">
        <v>-13.353</v>
      </c>
      <c r="Z8" s="7">
        <v>31.8</v>
      </c>
      <c r="AA8" s="7">
        <v>-96.1</v>
      </c>
      <c r="AB8" s="7">
        <v>56.7</v>
      </c>
      <c r="AC8" s="1"/>
    </row>
    <row r="9" spans="1:29" x14ac:dyDescent="0.3">
      <c r="A9" s="101"/>
      <c r="B9" s="13">
        <v>11</v>
      </c>
      <c r="C9" s="1" t="s">
        <v>11</v>
      </c>
      <c r="D9" s="3"/>
      <c r="E9" s="3"/>
      <c r="F9" s="3"/>
      <c r="G9" s="3">
        <f>(-120122*5)/1000000</f>
        <v>-0.60060999999999998</v>
      </c>
      <c r="H9" s="3">
        <f>(-635861*5)/1000000</f>
        <v>-3.1793049999999998</v>
      </c>
      <c r="I9" s="35">
        <v>0.10841000000000001</v>
      </c>
      <c r="J9" s="3">
        <v>-1.6598269999999999</v>
      </c>
      <c r="K9" s="3">
        <f>K10-K8</f>
        <v>-2.6757220000000004</v>
      </c>
      <c r="L9" s="3">
        <f>L10-L8</f>
        <v>-4.5566130000000022</v>
      </c>
      <c r="M9" s="3">
        <f t="shared" ref="M9:N9" si="0">M10-M8</f>
        <v>-4.5566130000000022</v>
      </c>
      <c r="N9" s="3">
        <f t="shared" si="0"/>
        <v>-5.9169590000000003</v>
      </c>
      <c r="O9" s="3">
        <f t="shared" ref="O9" si="1">O10-O8</f>
        <v>-5.4672440000000009</v>
      </c>
      <c r="P9" s="3">
        <f t="shared" ref="P9" si="2">P10-P8</f>
        <v>-2.5109430000000001</v>
      </c>
      <c r="Q9" s="3">
        <f t="shared" ref="Q9" si="3">Q10-Q8</f>
        <v>-2.5109430000000001</v>
      </c>
      <c r="R9" s="3">
        <f t="shared" ref="R9" si="4">R10-R8</f>
        <v>-6.0019309999999999</v>
      </c>
      <c r="S9" s="3">
        <f t="shared" ref="S9" si="5">S10-S8</f>
        <v>-8.4837340000000019</v>
      </c>
      <c r="T9" s="3">
        <f t="shared" ref="T9" si="6">T10-T8</f>
        <v>-11.44492</v>
      </c>
      <c r="U9" s="3">
        <f t="shared" ref="U9" si="7">U10-U8</f>
        <v>-11.701692999999999</v>
      </c>
      <c r="V9" s="3">
        <v>-9.6999999999999993</v>
      </c>
      <c r="W9" s="3">
        <v>-11</v>
      </c>
      <c r="X9" s="3">
        <v>-10.6</v>
      </c>
      <c r="Y9" s="3">
        <v>-10.6</v>
      </c>
      <c r="Z9" s="3">
        <v>-16.8</v>
      </c>
      <c r="AA9" s="3">
        <v>-14.8</v>
      </c>
      <c r="AB9" s="3">
        <v>-18.600000000000001</v>
      </c>
      <c r="AC9" s="1"/>
    </row>
    <row r="10" spans="1:29" x14ac:dyDescent="0.3">
      <c r="A10" s="101"/>
      <c r="B10" s="13">
        <v>12</v>
      </c>
      <c r="C10" s="6" t="s">
        <v>12</v>
      </c>
      <c r="D10" s="7"/>
      <c r="E10" s="7"/>
      <c r="F10" s="7"/>
      <c r="G10" s="7">
        <f>(142862)*5/1000000</f>
        <v>0.71431</v>
      </c>
      <c r="H10" s="7">
        <f>-(4729414*5)/1000000</f>
        <v>-23.647069999999999</v>
      </c>
      <c r="I10" s="7">
        <v>-16.035314</v>
      </c>
      <c r="J10" s="7">
        <v>-18.036204000000001</v>
      </c>
      <c r="K10" s="7">
        <v>-1.0798760000000001</v>
      </c>
      <c r="L10" s="7">
        <v>-30.445060000000002</v>
      </c>
      <c r="M10" s="7">
        <v>-30.445060000000002</v>
      </c>
      <c r="N10" s="7">
        <v>3.5020579999999999</v>
      </c>
      <c r="O10" s="7">
        <v>5.7023869999999999</v>
      </c>
      <c r="P10" s="19">
        <v>0.34264099999999997</v>
      </c>
      <c r="Q10" s="19">
        <v>0.34264099999999997</v>
      </c>
      <c r="R10" s="7">
        <v>0.97486399999999995</v>
      </c>
      <c r="S10" s="7">
        <v>-34.925041</v>
      </c>
      <c r="T10" s="7">
        <v>20.329895</v>
      </c>
      <c r="U10" s="7">
        <v>-37.487991999999998</v>
      </c>
      <c r="V10" s="7">
        <v>20.6</v>
      </c>
      <c r="W10" s="7">
        <v>-57.340933999999997</v>
      </c>
      <c r="X10" s="7">
        <v>-34.4</v>
      </c>
      <c r="Y10" s="7">
        <v>-28</v>
      </c>
      <c r="Z10" s="7">
        <v>11</v>
      </c>
      <c r="AA10" s="7">
        <v>-115.6</v>
      </c>
      <c r="AB10" s="7">
        <v>34.1</v>
      </c>
      <c r="AC10" s="1"/>
    </row>
    <row r="11" spans="1:29" x14ac:dyDescent="0.3">
      <c r="A11" s="101"/>
      <c r="B11" s="13">
        <v>13</v>
      </c>
      <c r="C11" s="1" t="s">
        <v>13</v>
      </c>
      <c r="D11" s="3"/>
      <c r="E11" s="3"/>
      <c r="F11" s="3"/>
      <c r="G11" s="3">
        <v>0</v>
      </c>
      <c r="H11" s="35">
        <f>(2226*5)/1000000</f>
        <v>1.1129999999999999E-2</v>
      </c>
      <c r="I11" s="22">
        <v>3.1856000000000002E-2</v>
      </c>
      <c r="J11" s="22">
        <v>3.3063000000000002E-2</v>
      </c>
      <c r="K11" s="22">
        <v>5.9319999999999998E-2</v>
      </c>
      <c r="L11" s="22">
        <v>7.6892000000000002E-2</v>
      </c>
      <c r="M11" s="3">
        <v>7.6892000000000002E-2</v>
      </c>
      <c r="N11" s="3">
        <v>1.2451950000000001</v>
      </c>
      <c r="O11" s="3">
        <v>0.55509399999999998</v>
      </c>
      <c r="P11" s="35">
        <v>0.26536300000000002</v>
      </c>
      <c r="Q11" s="35">
        <v>0.26536300000000002</v>
      </c>
      <c r="R11" s="35">
        <v>0.47130300000000003</v>
      </c>
      <c r="S11" s="3">
        <v>1.180356</v>
      </c>
      <c r="T11" s="3">
        <v>0.57506000000000002</v>
      </c>
      <c r="U11" s="3">
        <v>3.2199260000000001</v>
      </c>
      <c r="V11" s="3">
        <v>0.60079099999999996</v>
      </c>
      <c r="W11" s="3">
        <v>0.94288700000000003</v>
      </c>
      <c r="X11" s="3">
        <v>0.79746300000000003</v>
      </c>
      <c r="Y11" s="3">
        <v>0.9</v>
      </c>
      <c r="Z11" s="3">
        <v>1.7</v>
      </c>
      <c r="AA11" s="3">
        <v>0.6</v>
      </c>
      <c r="AB11" s="3">
        <v>1.2</v>
      </c>
      <c r="AC11" s="1"/>
    </row>
    <row r="12" spans="1:29" x14ac:dyDescent="0.3">
      <c r="A12" s="101"/>
      <c r="B12" s="13">
        <v>14</v>
      </c>
      <c r="C12" s="6" t="s">
        <v>105</v>
      </c>
      <c r="D12" s="7"/>
      <c r="E12" s="7"/>
      <c r="F12" s="7"/>
      <c r="G12" s="7">
        <f>(142862*5)/1000000</f>
        <v>0.71431</v>
      </c>
      <c r="H12" s="7">
        <f>-(23601321/1000000)</f>
        <v>-23.601320999999999</v>
      </c>
      <c r="I12" s="7">
        <v>-16.056773</v>
      </c>
      <c r="J12" s="7">
        <v>-18.052078000000002</v>
      </c>
      <c r="K12" s="7">
        <v>-1.1391960000000001</v>
      </c>
      <c r="L12" s="7">
        <v>-30.521951999999999</v>
      </c>
      <c r="M12" s="7">
        <v>-30.521951999999999</v>
      </c>
      <c r="N12" s="7">
        <v>2.2568630000000001</v>
      </c>
      <c r="O12" s="7">
        <v>5.1472930000000003</v>
      </c>
      <c r="P12" s="7">
        <v>7.7277999999999999E-2</v>
      </c>
      <c r="Q12" s="7">
        <v>7.7277999999999999E-2</v>
      </c>
      <c r="R12" s="7">
        <v>0.47130300000000003</v>
      </c>
      <c r="S12" s="7">
        <v>-35.925041</v>
      </c>
      <c r="T12" s="7">
        <v>20.329895</v>
      </c>
      <c r="U12" s="7">
        <v>-40.707917999999999</v>
      </c>
      <c r="V12" s="7">
        <v>19.399999999999999</v>
      </c>
      <c r="W12" s="7">
        <v>-58.4</v>
      </c>
      <c r="X12" s="7">
        <v>-35.299999999999997</v>
      </c>
      <c r="Y12" s="7">
        <v>-28.4</v>
      </c>
      <c r="Z12" s="7">
        <v>9.5</v>
      </c>
      <c r="AA12" s="7">
        <v>-115.9</v>
      </c>
      <c r="AB12" s="7">
        <v>33.4</v>
      </c>
      <c r="AC12" s="1"/>
    </row>
    <row r="13" spans="1:29" x14ac:dyDescent="0.3">
      <c r="A13" s="101"/>
      <c r="B13" s="13">
        <v>2</v>
      </c>
      <c r="C13" s="1" t="s">
        <v>15</v>
      </c>
      <c r="D13" s="3"/>
      <c r="E13" s="3"/>
      <c r="F13" s="3"/>
      <c r="G13" s="3">
        <v>0</v>
      </c>
      <c r="H13" s="3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f>0.0234/Q5</f>
        <v>1.56E-3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1"/>
    </row>
    <row r="14" spans="1:29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>
        <f>-(674672*5)/1000000</f>
        <v>-3.3733599999999999</v>
      </c>
      <c r="H14" s="7">
        <f>-(397133*5)/1000000</f>
        <v>-1.985665</v>
      </c>
      <c r="I14" s="43">
        <f>-0.007713</f>
        <v>-7.7130000000000002E-3</v>
      </c>
      <c r="J14" s="43">
        <f>-0.257301</f>
        <v>-0.257301</v>
      </c>
      <c r="K14" s="7">
        <v>1.2290540000000001</v>
      </c>
      <c r="L14" s="7">
        <v>2.4739439999999999</v>
      </c>
      <c r="M14" s="7">
        <v>2.4739439999999999</v>
      </c>
      <c r="N14" s="7">
        <v>6.8273320000000002</v>
      </c>
      <c r="O14" s="7">
        <v>3.4763310000000001</v>
      </c>
      <c r="P14" s="7">
        <v>6.9503180000000002</v>
      </c>
      <c r="Q14" s="7">
        <v>4.3939969999999997</v>
      </c>
      <c r="R14" s="7">
        <v>22.538822</v>
      </c>
      <c r="S14" s="7">
        <v>1.9165570000000001</v>
      </c>
      <c r="T14" s="7">
        <v>17.817786000000002</v>
      </c>
      <c r="U14" s="7">
        <v>14.965439</v>
      </c>
      <c r="V14" s="7">
        <v>25.1</v>
      </c>
      <c r="W14" s="7">
        <v>13.4</v>
      </c>
      <c r="X14" s="7">
        <v>14.6</v>
      </c>
      <c r="Y14" s="7">
        <v>49.9</v>
      </c>
      <c r="Z14" s="7">
        <v>9.1</v>
      </c>
      <c r="AA14" s="7">
        <v>5.5</v>
      </c>
      <c r="AB14" s="7">
        <v>8.5</v>
      </c>
      <c r="AC14" s="1"/>
    </row>
    <row r="15" spans="1:29" x14ac:dyDescent="0.3">
      <c r="A15" s="103"/>
      <c r="B15" s="14">
        <v>7</v>
      </c>
      <c r="C15" s="1" t="s">
        <v>17</v>
      </c>
      <c r="D15" s="3"/>
      <c r="E15" s="3"/>
      <c r="F15" s="3"/>
      <c r="G15" s="3">
        <f>(3177650+307570)*5/1000000</f>
        <v>17.426100000000002</v>
      </c>
      <c r="H15" s="3">
        <f>(5841613+161737)*5/1000000</f>
        <v>30.016749999999998</v>
      </c>
      <c r="I15" s="3">
        <f>20.237322</f>
        <v>20.237321999999999</v>
      </c>
      <c r="J15" s="3">
        <f>23.201305+0.719833+9.114816</f>
        <v>33.035954000000004</v>
      </c>
      <c r="K15" s="3">
        <f>32.249213+20.79322</f>
        <v>53.042433000000003</v>
      </c>
      <c r="L15" s="3">
        <f>26.821867+32.393858</f>
        <v>59.215725000000006</v>
      </c>
      <c r="M15" s="3">
        <f>16.846351+39.424953+11.448679</f>
        <v>67.719982999999999</v>
      </c>
      <c r="N15" s="3">
        <f>20.30835+14.310156+22.536124</f>
        <v>57.154629999999997</v>
      </c>
      <c r="O15" s="3">
        <f>21.000666+55.184343+14.871385</f>
        <v>91.056393999999997</v>
      </c>
      <c r="P15" s="3">
        <f>16.468+17.496613+58.874882</f>
        <v>92.839494999999999</v>
      </c>
      <c r="Q15" s="3">
        <f>16.468+17.496613+58.874882</f>
        <v>92.839494999999999</v>
      </c>
      <c r="R15" s="3">
        <f>22.372649+27.106149+49.470351</f>
        <v>98.949149000000006</v>
      </c>
      <c r="S15" s="3">
        <f>14.4+9.813+55.981791+17.797686</f>
        <v>97.992477000000008</v>
      </c>
      <c r="T15" s="3">
        <f>13.225+29.526645+43.004014+9.617134</f>
        <v>95.372793000000001</v>
      </c>
      <c r="U15" s="3">
        <f>19.1125+19.395933+71.040781+29.591657</f>
        <v>139.140871</v>
      </c>
      <c r="V15" s="3">
        <f>36.288117+63.711415+61.454581</f>
        <v>161.45411300000001</v>
      </c>
      <c r="W15" s="3">
        <f>34.360593+44.7052224+78.529682+19.653905</f>
        <v>177.24940240000001</v>
      </c>
      <c r="X15" s="3">
        <f>40.085903+34.465081+72.650092+44.712849</f>
        <v>191.91392500000001</v>
      </c>
      <c r="Y15" s="3">
        <f>112.574+68.585+97.615</f>
        <v>278.774</v>
      </c>
      <c r="Z15" s="3">
        <v>222.2</v>
      </c>
      <c r="AA15" s="3">
        <v>251.7</v>
      </c>
      <c r="AB15" s="3">
        <v>306.3</v>
      </c>
      <c r="AC15" s="1"/>
    </row>
    <row r="16" spans="1:29" x14ac:dyDescent="0.3">
      <c r="A16" s="103"/>
      <c r="B16" s="14">
        <v>9</v>
      </c>
      <c r="C16" s="6" t="s">
        <v>92</v>
      </c>
      <c r="D16" s="7"/>
      <c r="E16" s="7"/>
      <c r="F16" s="7"/>
      <c r="G16" s="7">
        <v>0</v>
      </c>
      <c r="H16" s="7">
        <v>0</v>
      </c>
      <c r="I16" s="7">
        <v>0</v>
      </c>
      <c r="J16" s="19">
        <v>0.131136</v>
      </c>
      <c r="K16" s="19">
        <v>9.9475999999999995E-2</v>
      </c>
      <c r="L16" s="19">
        <v>8.9776999999999996E-2</v>
      </c>
      <c r="M16" s="19">
        <v>6.6425999999999999E-2</v>
      </c>
      <c r="N16" s="19">
        <v>0.12573500000000001</v>
      </c>
      <c r="O16" s="19">
        <v>0.14108100000000001</v>
      </c>
      <c r="P16" s="19">
        <v>0.11217299999999999</v>
      </c>
      <c r="Q16" s="19">
        <v>0.11217299999999999</v>
      </c>
      <c r="R16" s="19">
        <v>4.9049000000000002E-2</v>
      </c>
      <c r="S16" s="19">
        <v>-0.115678</v>
      </c>
      <c r="T16" s="19">
        <v>-0.186224</v>
      </c>
      <c r="U16" s="19">
        <v>-0.179808</v>
      </c>
      <c r="V16" s="7">
        <v>58.763775000000003</v>
      </c>
      <c r="W16" s="7">
        <v>59.442692000000001</v>
      </c>
      <c r="X16" s="7">
        <v>59.7</v>
      </c>
      <c r="Y16" s="7">
        <v>59.1</v>
      </c>
      <c r="Z16" s="7">
        <v>58.4</v>
      </c>
      <c r="AA16" s="7">
        <v>57.9</v>
      </c>
      <c r="AB16" s="7">
        <v>57.4</v>
      </c>
      <c r="AC16" s="1"/>
    </row>
    <row r="17" spans="1:29" x14ac:dyDescent="0.3">
      <c r="A17" s="103"/>
      <c r="B17" s="14">
        <v>10</v>
      </c>
      <c r="C17" s="1" t="s">
        <v>18</v>
      </c>
      <c r="D17" s="3"/>
      <c r="E17" s="3"/>
      <c r="F17" s="3"/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1"/>
    </row>
    <row r="18" spans="1:29" x14ac:dyDescent="0.3">
      <c r="A18" s="103"/>
      <c r="B18" s="14">
        <v>15</v>
      </c>
      <c r="C18" s="6" t="s">
        <v>19</v>
      </c>
      <c r="D18" s="7"/>
      <c r="E18" s="7"/>
      <c r="F18" s="7"/>
      <c r="G18" s="7">
        <f>(8895855*5)/1000000</f>
        <v>44.479275000000001</v>
      </c>
      <c r="H18" s="7">
        <f>(57370321/1000000)</f>
        <v>57.370320999999997</v>
      </c>
      <c r="I18" s="7">
        <v>51.000517000000002</v>
      </c>
      <c r="J18" s="7">
        <v>73.821737999999996</v>
      </c>
      <c r="K18" s="7">
        <f>K19+35.791954</f>
        <v>115.124976</v>
      </c>
      <c r="L18" s="7">
        <f>L19+39.925975</f>
        <v>133.50795099999999</v>
      </c>
      <c r="M18" s="7">
        <v>125.203209</v>
      </c>
      <c r="N18" s="7">
        <v>116.588425</v>
      </c>
      <c r="O18" s="7">
        <v>160.79704599999999</v>
      </c>
      <c r="P18" s="7">
        <v>160.07188500000001</v>
      </c>
      <c r="Q18" s="7">
        <v>160.07188500000001</v>
      </c>
      <c r="R18" s="7">
        <v>202.02972600000001</v>
      </c>
      <c r="S18" s="7">
        <v>223.385133</v>
      </c>
      <c r="T18" s="7">
        <v>220.22522000000001</v>
      </c>
      <c r="U18" s="7">
        <v>233.46327199999999</v>
      </c>
      <c r="V18" s="7">
        <v>334.9</v>
      </c>
      <c r="W18" s="7">
        <v>408.6</v>
      </c>
      <c r="X18" s="7">
        <v>447.2</v>
      </c>
      <c r="Y18" s="7">
        <v>523.29999999999995</v>
      </c>
      <c r="Z18" s="7">
        <v>466.5</v>
      </c>
      <c r="AA18" s="7">
        <v>509.8</v>
      </c>
      <c r="AB18" s="7">
        <v>583.6</v>
      </c>
      <c r="AC18" s="1"/>
    </row>
    <row r="19" spans="1:29" x14ac:dyDescent="0.3">
      <c r="A19" s="103"/>
      <c r="B19" s="14">
        <v>18</v>
      </c>
      <c r="C19" s="1" t="s">
        <v>21</v>
      </c>
      <c r="D19" s="3"/>
      <c r="E19" s="3"/>
      <c r="F19" s="3"/>
      <c r="G19" s="3">
        <f>(5628086*5)/1000000</f>
        <v>28.140429999999999</v>
      </c>
      <c r="H19" s="3">
        <f>(10555917*5)/1000000</f>
        <v>52.779584999999997</v>
      </c>
      <c r="I19" s="3">
        <f>37.322016</f>
        <v>37.322015999999998</v>
      </c>
      <c r="J19" s="3">
        <v>33.370525999999998</v>
      </c>
      <c r="K19" s="3">
        <v>79.333022</v>
      </c>
      <c r="L19" s="3">
        <v>93.581975999999997</v>
      </c>
      <c r="M19" s="3">
        <v>102.33338500000001</v>
      </c>
      <c r="N19" s="3">
        <v>77.588425000000001</v>
      </c>
      <c r="O19" s="3">
        <v>124.646198</v>
      </c>
      <c r="P19" s="3">
        <v>114.80816</v>
      </c>
      <c r="Q19" s="3">
        <v>114.80816</v>
      </c>
      <c r="R19" s="3">
        <v>140.87101000000001</v>
      </c>
      <c r="S19" s="3">
        <v>170.31708599999999</v>
      </c>
      <c r="T19" s="3">
        <v>153.927437</v>
      </c>
      <c r="U19" s="3">
        <v>180.32658900000001</v>
      </c>
      <c r="V19" s="3">
        <v>151.46100999999999</v>
      </c>
      <c r="W19" s="3">
        <v>202.057264</v>
      </c>
      <c r="X19" s="3">
        <v>226.243177</v>
      </c>
      <c r="Y19" s="3">
        <v>213.495</v>
      </c>
      <c r="Z19" s="3">
        <v>209.9</v>
      </c>
      <c r="AA19" s="3">
        <v>256</v>
      </c>
      <c r="AB19" s="3">
        <v>235.4</v>
      </c>
      <c r="AC19" s="1"/>
    </row>
    <row r="20" spans="1:29" x14ac:dyDescent="0.3">
      <c r="A20" s="103"/>
      <c r="B20" s="14">
        <v>17</v>
      </c>
      <c r="C20" s="6" t="s">
        <v>22</v>
      </c>
      <c r="D20" s="7"/>
      <c r="E20" s="7"/>
      <c r="F20" s="7"/>
      <c r="G20" s="7">
        <f>(4668430+16078)*5/1000000</f>
        <v>23.422540000000001</v>
      </c>
      <c r="H20" s="7">
        <f>(1713361+399480)*5/1000000</f>
        <v>10.564204999999999</v>
      </c>
      <c r="I20" s="7">
        <f>0.744419+6.648299+1.833927</f>
        <v>9.2266449999999995</v>
      </c>
      <c r="J20" s="7">
        <f>0.55684+13.43003+0.315362</f>
        <v>14.302232</v>
      </c>
      <c r="K20" s="7">
        <v>82.684663999999998</v>
      </c>
      <c r="L20" s="7">
        <v>76.014336999999998</v>
      </c>
      <c r="M20" s="7">
        <v>61.462874999999997</v>
      </c>
      <c r="N20" s="7">
        <v>68.777396999999993</v>
      </c>
      <c r="O20" s="7">
        <v>78.510752999999994</v>
      </c>
      <c r="P20" s="7">
        <v>82.355923000000004</v>
      </c>
      <c r="Q20" s="7">
        <v>82.355923000000004</v>
      </c>
      <c r="R20" s="7">
        <v>98.588511999999994</v>
      </c>
      <c r="S20" s="7">
        <v>56.535711999999997</v>
      </c>
      <c r="T20" s="7">
        <v>105.879558</v>
      </c>
      <c r="U20" s="7">
        <v>96.132172999999995</v>
      </c>
      <c r="V20" s="7">
        <v>126.57643299999999</v>
      </c>
      <c r="W20" s="7">
        <v>114.80877</v>
      </c>
      <c r="X20" s="7">
        <v>91.385144999999994</v>
      </c>
      <c r="Y20" s="7">
        <v>166.25399999999999</v>
      </c>
      <c r="Z20" s="7">
        <v>136.4</v>
      </c>
      <c r="AA20" s="7">
        <v>70.5</v>
      </c>
      <c r="AB20" s="7">
        <v>107.6</v>
      </c>
      <c r="AC20" s="1"/>
    </row>
    <row r="21" spans="1:29" x14ac:dyDescent="0.3">
      <c r="A21" s="103"/>
      <c r="B21" s="14">
        <v>19</v>
      </c>
      <c r="C21" s="1" t="s">
        <v>88</v>
      </c>
      <c r="D21" s="3"/>
      <c r="E21" s="3"/>
      <c r="F21" s="3"/>
      <c r="G21" s="3">
        <v>0</v>
      </c>
      <c r="H21" s="3">
        <v>0</v>
      </c>
      <c r="I21" s="3">
        <v>0.74441900000000005</v>
      </c>
      <c r="J21" s="3">
        <v>0.55684</v>
      </c>
      <c r="K21" s="3">
        <v>1.1597470000000001</v>
      </c>
      <c r="L21" s="3">
        <v>1.569461</v>
      </c>
      <c r="M21" s="22">
        <v>4.6796999999999998E-2</v>
      </c>
      <c r="N21" s="22">
        <v>4.4703E-2</v>
      </c>
      <c r="O21" s="3">
        <v>0.61792800000000003</v>
      </c>
      <c r="P21" s="3">
        <v>0.56838200000000005</v>
      </c>
      <c r="Q21" s="3">
        <v>0.56838200000000005</v>
      </c>
      <c r="R21" s="3">
        <v>0.60682599999999998</v>
      </c>
      <c r="S21" s="3">
        <v>0.76568099999999994</v>
      </c>
      <c r="T21" s="3">
        <v>1.112554</v>
      </c>
      <c r="U21" s="3">
        <v>1.5969819999999999</v>
      </c>
      <c r="V21" s="3">
        <v>2.18031</v>
      </c>
      <c r="W21" s="3">
        <v>2.5493749999999999</v>
      </c>
      <c r="X21" s="3">
        <v>3.1050450000000001</v>
      </c>
      <c r="Y21" s="3">
        <v>3</v>
      </c>
      <c r="Z21" s="3">
        <v>2.9</v>
      </c>
      <c r="AA21" s="3">
        <v>3.5</v>
      </c>
      <c r="AB21" s="3">
        <v>3.7</v>
      </c>
      <c r="AC21" s="1"/>
    </row>
    <row r="22" spans="1:29" x14ac:dyDescent="0.3">
      <c r="A22" s="103"/>
      <c r="B22" s="14">
        <v>20</v>
      </c>
      <c r="C22" s="6" t="s">
        <v>87</v>
      </c>
      <c r="D22" s="7"/>
      <c r="E22" s="7"/>
      <c r="F22" s="7"/>
      <c r="G22" s="7">
        <f>4510543*5/1000000</f>
        <v>22.552714999999999</v>
      </c>
      <c r="H22" s="7">
        <f>(1713361+399480)*5/1000000</f>
        <v>10.564204999999999</v>
      </c>
      <c r="I22" s="7">
        <v>3.9011279999999999</v>
      </c>
      <c r="J22" s="7">
        <f>6.49485+11.422054</f>
        <v>17.916903999999999</v>
      </c>
      <c r="K22" s="7">
        <v>79.054105000000007</v>
      </c>
      <c r="L22" s="7">
        <v>71.214224999999999</v>
      </c>
      <c r="M22" s="7">
        <v>47.183365999999999</v>
      </c>
      <c r="N22" s="7">
        <v>47.444042000000003</v>
      </c>
      <c r="O22" s="7">
        <v>60.111707000000003</v>
      </c>
      <c r="P22" s="7">
        <v>66.656670000000005</v>
      </c>
      <c r="Q22" s="7">
        <v>68.656670000000005</v>
      </c>
      <c r="R22" s="7">
        <v>59.314588000000001</v>
      </c>
      <c r="S22" s="7">
        <v>39.193322999999999</v>
      </c>
      <c r="T22" s="7">
        <v>64.129401000000001</v>
      </c>
      <c r="U22" s="7">
        <v>64.498529000000005</v>
      </c>
      <c r="V22" s="7">
        <v>74.757925</v>
      </c>
      <c r="W22" s="7">
        <v>86.669883999999996</v>
      </c>
      <c r="X22" s="7">
        <v>61.090345999999997</v>
      </c>
      <c r="Y22" s="7">
        <v>99.308999999999997</v>
      </c>
      <c r="Z22" s="7">
        <v>107.4</v>
      </c>
      <c r="AA22" s="7">
        <v>50.4</v>
      </c>
      <c r="AB22" s="7">
        <v>81.2</v>
      </c>
      <c r="AC22" s="1"/>
    </row>
    <row r="23" spans="1:29" x14ac:dyDescent="0.3">
      <c r="A23" s="103"/>
      <c r="B23" s="14">
        <v>16</v>
      </c>
      <c r="C23" s="1" t="s">
        <v>20</v>
      </c>
      <c r="D23" s="3"/>
      <c r="E23" s="3"/>
      <c r="F23" s="3"/>
      <c r="G23" s="3">
        <f>4854557*5/1000000</f>
        <v>24.272784999999999</v>
      </c>
      <c r="H23" s="3">
        <f>613120/1000000</f>
        <v>0.61312</v>
      </c>
      <c r="I23" s="3">
        <v>34.606346000000002</v>
      </c>
      <c r="J23" s="3">
        <v>16.163834000000001</v>
      </c>
      <c r="K23" s="3">
        <v>38.907207</v>
      </c>
      <c r="L23" s="3">
        <v>37.777704</v>
      </c>
      <c r="M23" s="3">
        <v>7.3455279999999998</v>
      </c>
      <c r="N23" s="3">
        <v>9.6643629999999998</v>
      </c>
      <c r="O23" s="3">
        <v>22.775511999999999</v>
      </c>
      <c r="P23" s="3">
        <v>22.82939</v>
      </c>
      <c r="Q23" s="3">
        <v>22.82939</v>
      </c>
      <c r="R23" s="3">
        <v>23.292580999999998</v>
      </c>
      <c r="S23" s="3">
        <v>-12.658094999999999</v>
      </c>
      <c r="T23" s="3">
        <v>7.6273549999999997</v>
      </c>
      <c r="U23" s="3">
        <v>-33.067340000000002</v>
      </c>
      <c r="V23" s="3">
        <v>24.3</v>
      </c>
      <c r="W23" s="3">
        <v>-33.6</v>
      </c>
      <c r="X23" s="3">
        <v>-68.8</v>
      </c>
      <c r="Y23" s="3">
        <v>-97.2</v>
      </c>
      <c r="Z23" s="3">
        <v>-93.2</v>
      </c>
      <c r="AA23" s="3">
        <v>-209.1</v>
      </c>
      <c r="AB23" s="3">
        <v>-175.7</v>
      </c>
      <c r="AC23" s="1"/>
    </row>
    <row r="25" spans="1:29" x14ac:dyDescent="0.3">
      <c r="A25" s="9" t="s">
        <v>71</v>
      </c>
      <c r="B25" s="8"/>
      <c r="C25" s="9" t="s">
        <v>26</v>
      </c>
      <c r="D25" s="8">
        <v>97</v>
      </c>
      <c r="E25" s="8">
        <v>98</v>
      </c>
      <c r="F25" s="8">
        <v>99</v>
      </c>
      <c r="G25" s="8">
        <v>2000</v>
      </c>
      <c r="H25" s="8">
        <v>1</v>
      </c>
      <c r="I25" s="8">
        <v>2</v>
      </c>
      <c r="J25" s="8">
        <v>3</v>
      </c>
      <c r="K25" s="8">
        <v>4</v>
      </c>
      <c r="L25" s="8">
        <v>5</v>
      </c>
      <c r="M25" s="8">
        <v>6</v>
      </c>
      <c r="N25" s="8">
        <v>7</v>
      </c>
      <c r="O25" s="8">
        <v>8</v>
      </c>
      <c r="P25" s="8">
        <v>9</v>
      </c>
      <c r="Q25" s="8">
        <v>10</v>
      </c>
      <c r="R25" s="8">
        <v>11</v>
      </c>
      <c r="S25" s="8">
        <v>12</v>
      </c>
      <c r="T25" s="8">
        <v>13</v>
      </c>
      <c r="U25" s="8">
        <v>14</v>
      </c>
      <c r="V25" s="8">
        <v>15</v>
      </c>
      <c r="W25" s="8">
        <v>16</v>
      </c>
      <c r="X25" s="8">
        <v>17</v>
      </c>
      <c r="Y25" s="8">
        <v>18</v>
      </c>
      <c r="Z25" s="8">
        <v>19</v>
      </c>
      <c r="AA25" s="8">
        <v>20</v>
      </c>
      <c r="AB25" s="8" t="s">
        <v>3</v>
      </c>
      <c r="AC25" s="8" t="s">
        <v>94</v>
      </c>
    </row>
    <row r="26" spans="1:29" x14ac:dyDescent="0.3">
      <c r="A26" s="6" t="s">
        <v>65</v>
      </c>
      <c r="B26" s="17" t="s">
        <v>27</v>
      </c>
      <c r="C26" s="6" t="s">
        <v>85</v>
      </c>
      <c r="D26" s="7">
        <f t="shared" ref="D26:AB26" si="8">D4*D5</f>
        <v>0</v>
      </c>
      <c r="E26" s="7">
        <f t="shared" si="8"/>
        <v>0</v>
      </c>
      <c r="F26" s="7">
        <f t="shared" si="8"/>
        <v>22.349999999999998</v>
      </c>
      <c r="G26" s="7">
        <f t="shared" si="8"/>
        <v>19.149999999999999</v>
      </c>
      <c r="H26" s="7">
        <f t="shared" si="8"/>
        <v>12.75</v>
      </c>
      <c r="I26" s="7">
        <f t="shared" si="8"/>
        <v>49.65</v>
      </c>
      <c r="J26" s="7">
        <f t="shared" si="8"/>
        <v>48</v>
      </c>
      <c r="K26" s="7">
        <f t="shared" si="8"/>
        <v>38.1</v>
      </c>
      <c r="L26" s="7">
        <f t="shared" si="8"/>
        <v>39.6</v>
      </c>
      <c r="M26" s="7">
        <f t="shared" si="8"/>
        <v>37.949999999999996</v>
      </c>
      <c r="N26" s="7">
        <f t="shared" si="8"/>
        <v>30.15</v>
      </c>
      <c r="O26" s="7">
        <f t="shared" si="8"/>
        <v>21</v>
      </c>
      <c r="P26" s="7">
        <f t="shared" si="8"/>
        <v>19.8</v>
      </c>
      <c r="Q26" s="7">
        <f t="shared" si="8"/>
        <v>13.5</v>
      </c>
      <c r="R26" s="7">
        <f t="shared" si="8"/>
        <v>7.1999999999999993</v>
      </c>
      <c r="S26" s="7">
        <f t="shared" si="8"/>
        <v>3.3</v>
      </c>
      <c r="T26" s="7">
        <f t="shared" si="8"/>
        <v>5.8500000000000005</v>
      </c>
      <c r="U26" s="7">
        <f t="shared" si="8"/>
        <v>12.824999999999999</v>
      </c>
      <c r="V26" s="7">
        <f t="shared" si="8"/>
        <v>15.749999999999998</v>
      </c>
      <c r="W26" s="7">
        <f t="shared" si="8"/>
        <v>15.524999999999999</v>
      </c>
      <c r="X26" s="7">
        <f t="shared" si="8"/>
        <v>14.850000000000001</v>
      </c>
      <c r="Y26" s="7">
        <f t="shared" si="8"/>
        <v>15.749999999999998</v>
      </c>
      <c r="Z26" s="7">
        <f t="shared" si="8"/>
        <v>14.625</v>
      </c>
      <c r="AA26" s="7">
        <f t="shared" si="8"/>
        <v>16.425000000000001</v>
      </c>
      <c r="AB26" s="7">
        <f t="shared" si="8"/>
        <v>17.324999999999999</v>
      </c>
      <c r="AC26" s="1"/>
    </row>
    <row r="27" spans="1:29" x14ac:dyDescent="0.3">
      <c r="A27" s="1" t="s">
        <v>66</v>
      </c>
      <c r="B27" s="2" t="s">
        <v>28</v>
      </c>
      <c r="C27" s="1" t="s">
        <v>47</v>
      </c>
      <c r="D27" s="30" t="e">
        <f t="shared" ref="D27:AA27" si="9">D26/D6</f>
        <v>#DIV/0!</v>
      </c>
      <c r="E27" s="30" t="e">
        <f t="shared" si="9"/>
        <v>#DIV/0!</v>
      </c>
      <c r="F27" s="30" t="e">
        <f t="shared" si="9"/>
        <v>#DIV/0!</v>
      </c>
      <c r="G27" s="30">
        <f t="shared" si="9"/>
        <v>0.42231531781763759</v>
      </c>
      <c r="H27" s="30">
        <f t="shared" si="9"/>
        <v>0.39969220878566736</v>
      </c>
      <c r="I27" s="30">
        <f t="shared" si="9"/>
        <v>1.0146922533427212</v>
      </c>
      <c r="J27" s="30">
        <f t="shared" si="9"/>
        <v>0.89573880256517202</v>
      </c>
      <c r="K27" s="30">
        <f t="shared" si="9"/>
        <v>0.8233229365582353</v>
      </c>
      <c r="L27" s="30">
        <f t="shared" si="9"/>
        <v>0.85717582687108984</v>
      </c>
      <c r="M27" s="30">
        <f t="shared" si="9"/>
        <v>0.82146016741812766</v>
      </c>
      <c r="N27" s="30">
        <f t="shared" si="9"/>
        <v>0.54876045115644301</v>
      </c>
      <c r="O27" s="30">
        <f t="shared" si="9"/>
        <v>0.30817322046914702</v>
      </c>
      <c r="P27" s="30">
        <f t="shared" si="9"/>
        <v>0.34367436180755845</v>
      </c>
      <c r="Q27" s="30">
        <f t="shared" si="9"/>
        <v>0.23432342850515347</v>
      </c>
      <c r="R27" s="30">
        <f t="shared" si="9"/>
        <v>8.0165133940852173E-2</v>
      </c>
      <c r="S27" s="30">
        <f t="shared" si="9"/>
        <v>4.5716292006414909E-2</v>
      </c>
      <c r="T27" s="30">
        <f t="shared" si="9"/>
        <v>7.4578007990810477E-2</v>
      </c>
      <c r="U27" s="30">
        <f t="shared" si="9"/>
        <v>0.17662167966735354</v>
      </c>
      <c r="V27" s="30">
        <f t="shared" si="9"/>
        <v>0.16826923076923075</v>
      </c>
      <c r="W27" s="30">
        <f t="shared" si="9"/>
        <v>0.20481530343007914</v>
      </c>
      <c r="X27" s="30">
        <f t="shared" si="9"/>
        <v>0.15000000000000002</v>
      </c>
      <c r="Y27" s="30">
        <f t="shared" si="9"/>
        <v>0.1488657844990548</v>
      </c>
      <c r="Z27" s="30">
        <f t="shared" si="9"/>
        <v>8.2955190017016442E-2</v>
      </c>
      <c r="AA27" s="30">
        <f t="shared" si="9"/>
        <v>0.18814432989690724</v>
      </c>
      <c r="AB27" s="30">
        <f t="shared" ref="AB27" si="10">AB26/AB6</f>
        <v>0.11279296875</v>
      </c>
      <c r="AC27" s="1"/>
    </row>
    <row r="28" spans="1:29" x14ac:dyDescent="0.3">
      <c r="A28" s="6" t="s">
        <v>67</v>
      </c>
      <c r="B28" s="17" t="s">
        <v>29</v>
      </c>
      <c r="C28" s="6" t="s">
        <v>48</v>
      </c>
      <c r="D28" s="29" t="e">
        <f t="shared" ref="D28:AA28" si="11">D26/D7</f>
        <v>#DIV/0!</v>
      </c>
      <c r="E28" s="29" t="e">
        <f t="shared" si="11"/>
        <v>#DIV/0!</v>
      </c>
      <c r="F28" s="29" t="e">
        <f t="shared" si="11"/>
        <v>#DIV/0!</v>
      </c>
      <c r="G28" s="29">
        <f t="shared" si="11"/>
        <v>1.9609569879700663</v>
      </c>
      <c r="H28" s="29">
        <f t="shared" si="11"/>
        <v>0.35706624292938821</v>
      </c>
      <c r="I28" s="29">
        <f t="shared" si="11"/>
        <v>-57.353094063694805</v>
      </c>
      <c r="J28" s="29">
        <f t="shared" si="11"/>
        <v>17.36084110381675</v>
      </c>
      <c r="K28" s="29">
        <f t="shared" si="11"/>
        <v>16.067000657861445</v>
      </c>
      <c r="L28" s="29">
        <f t="shared" si="11"/>
        <v>-1.5801925576362266</v>
      </c>
      <c r="M28" s="29">
        <f t="shared" si="11"/>
        <v>-1.5143512010680504</v>
      </c>
      <c r="N28" s="29">
        <f t="shared" si="11"/>
        <v>2.9231108414545397</v>
      </c>
      <c r="O28" s="29">
        <f t="shared" si="11"/>
        <v>1.7306076756900548</v>
      </c>
      <c r="P28" s="29">
        <f t="shared" si="11"/>
        <v>5.252422679961132</v>
      </c>
      <c r="Q28" s="29">
        <f t="shared" si="11"/>
        <v>3.5811972817916811</v>
      </c>
      <c r="R28" s="29">
        <f t="shared" si="11"/>
        <v>0.90893930444177173</v>
      </c>
      <c r="S28" s="29">
        <f t="shared" si="11"/>
        <v>-0.12895975822468211</v>
      </c>
      <c r="T28" s="29">
        <f t="shared" si="11"/>
        <v>0.1800481753517803</v>
      </c>
      <c r="U28" s="29">
        <f t="shared" si="11"/>
        <v>-0.50838468051639996</v>
      </c>
      <c r="V28" s="29">
        <f t="shared" si="11"/>
        <v>0.23367952522255189</v>
      </c>
      <c r="W28" s="29">
        <f t="shared" si="11"/>
        <v>-1.9406249999999998</v>
      </c>
      <c r="X28" s="29">
        <f t="shared" si="11"/>
        <v>0.66891891891891897</v>
      </c>
      <c r="Y28" s="29">
        <f t="shared" si="11"/>
        <v>0.5898876404494382</v>
      </c>
      <c r="Z28" s="29">
        <f t="shared" si="11"/>
        <v>0.20089285714285715</v>
      </c>
      <c r="AA28" s="29">
        <f t="shared" si="11"/>
        <v>-0.31166982922201136</v>
      </c>
      <c r="AB28" s="29">
        <f t="shared" ref="AB28" si="12">AB26/AB7</f>
        <v>0.18649085037674917</v>
      </c>
      <c r="AC28" s="1"/>
    </row>
    <row r="29" spans="1:29" x14ac:dyDescent="0.3">
      <c r="A29" s="15" t="s">
        <v>68</v>
      </c>
      <c r="B29" s="2" t="s">
        <v>30</v>
      </c>
      <c r="C29" s="1" t="s">
        <v>49</v>
      </c>
      <c r="D29" s="3">
        <f t="shared" ref="D29:AA29" si="13">D15-D14</f>
        <v>0</v>
      </c>
      <c r="E29" s="3">
        <f t="shared" si="13"/>
        <v>0</v>
      </c>
      <c r="F29" s="3">
        <f t="shared" si="13"/>
        <v>0</v>
      </c>
      <c r="G29" s="3">
        <f t="shared" si="13"/>
        <v>20.799460000000003</v>
      </c>
      <c r="H29" s="3">
        <f t="shared" si="13"/>
        <v>32.002414999999999</v>
      </c>
      <c r="I29" s="3">
        <f t="shared" si="13"/>
        <v>20.245034999999998</v>
      </c>
      <c r="J29" s="3">
        <f t="shared" si="13"/>
        <v>33.293255000000002</v>
      </c>
      <c r="K29" s="3">
        <f t="shared" si="13"/>
        <v>51.813379000000005</v>
      </c>
      <c r="L29" s="3">
        <f t="shared" si="13"/>
        <v>56.741781000000003</v>
      </c>
      <c r="M29" s="3">
        <f t="shared" si="13"/>
        <v>65.246038999999996</v>
      </c>
      <c r="N29" s="3">
        <f t="shared" si="13"/>
        <v>50.327297999999999</v>
      </c>
      <c r="O29" s="3">
        <f t="shared" si="13"/>
        <v>87.580062999999996</v>
      </c>
      <c r="P29" s="3">
        <f t="shared" si="13"/>
        <v>85.889177000000004</v>
      </c>
      <c r="Q29" s="3">
        <f t="shared" si="13"/>
        <v>88.445498000000001</v>
      </c>
      <c r="R29" s="3">
        <f t="shared" si="13"/>
        <v>76.410327000000009</v>
      </c>
      <c r="S29" s="3">
        <f t="shared" si="13"/>
        <v>96.075920000000011</v>
      </c>
      <c r="T29" s="3">
        <f t="shared" si="13"/>
        <v>77.555007000000003</v>
      </c>
      <c r="U29" s="3">
        <f t="shared" si="13"/>
        <v>124.175432</v>
      </c>
      <c r="V29" s="3">
        <f t="shared" si="13"/>
        <v>136.35411300000001</v>
      </c>
      <c r="W29" s="3">
        <f t="shared" si="13"/>
        <v>163.8494024</v>
      </c>
      <c r="X29" s="3">
        <f t="shared" si="13"/>
        <v>177.31392500000001</v>
      </c>
      <c r="Y29" s="3">
        <f t="shared" si="13"/>
        <v>228.874</v>
      </c>
      <c r="Z29" s="3">
        <f t="shared" si="13"/>
        <v>213.1</v>
      </c>
      <c r="AA29" s="3">
        <f t="shared" si="13"/>
        <v>246.2</v>
      </c>
      <c r="AB29" s="3">
        <f t="shared" ref="AB29" si="14">AB15-AB14</f>
        <v>297.8</v>
      </c>
      <c r="AC29" s="1"/>
    </row>
    <row r="30" spans="1:29" x14ac:dyDescent="0.3">
      <c r="A30" s="6" t="s">
        <v>69</v>
      </c>
      <c r="B30" s="17" t="s">
        <v>31</v>
      </c>
      <c r="C30" s="6" t="s">
        <v>50</v>
      </c>
      <c r="D30" s="7">
        <f t="shared" ref="D30:AA30" si="15">D26+D29+D16+D17</f>
        <v>0</v>
      </c>
      <c r="E30" s="7">
        <f t="shared" si="15"/>
        <v>0</v>
      </c>
      <c r="F30" s="7">
        <f t="shared" si="15"/>
        <v>22.349999999999998</v>
      </c>
      <c r="G30" s="7">
        <f t="shared" si="15"/>
        <v>39.949460000000002</v>
      </c>
      <c r="H30" s="7">
        <f t="shared" si="15"/>
        <v>44.752414999999999</v>
      </c>
      <c r="I30" s="7">
        <f t="shared" si="15"/>
        <v>69.895034999999993</v>
      </c>
      <c r="J30" s="7">
        <f t="shared" si="15"/>
        <v>81.424391</v>
      </c>
      <c r="K30" s="7">
        <f t="shared" si="15"/>
        <v>90.012855000000002</v>
      </c>
      <c r="L30" s="7">
        <f t="shared" si="15"/>
        <v>96.431557999999995</v>
      </c>
      <c r="M30" s="7">
        <f t="shared" si="15"/>
        <v>103.26246499999999</v>
      </c>
      <c r="N30" s="7">
        <f t="shared" si="15"/>
        <v>80.603032999999996</v>
      </c>
      <c r="O30" s="7">
        <f t="shared" si="15"/>
        <v>108.721144</v>
      </c>
      <c r="P30" s="7">
        <f t="shared" si="15"/>
        <v>105.80135</v>
      </c>
      <c r="Q30" s="7">
        <f t="shared" si="15"/>
        <v>102.057671</v>
      </c>
      <c r="R30" s="7">
        <f t="shared" si="15"/>
        <v>83.659376000000009</v>
      </c>
      <c r="S30" s="7">
        <f t="shared" si="15"/>
        <v>99.260242000000005</v>
      </c>
      <c r="T30" s="7">
        <f t="shared" si="15"/>
        <v>83.218783000000002</v>
      </c>
      <c r="U30" s="7">
        <f t="shared" si="15"/>
        <v>136.82062399999998</v>
      </c>
      <c r="V30" s="7">
        <f t="shared" si="15"/>
        <v>210.86788800000002</v>
      </c>
      <c r="W30" s="7">
        <f t="shared" si="15"/>
        <v>238.8170944</v>
      </c>
      <c r="X30" s="7">
        <f t="shared" si="15"/>
        <v>251.86392499999999</v>
      </c>
      <c r="Y30" s="7">
        <f t="shared" si="15"/>
        <v>303.72399999999999</v>
      </c>
      <c r="Z30" s="7">
        <f t="shared" si="15"/>
        <v>286.125</v>
      </c>
      <c r="AA30" s="7">
        <f t="shared" si="15"/>
        <v>320.52499999999998</v>
      </c>
      <c r="AB30" s="7">
        <f t="shared" ref="AB30" si="16">AB26+AB29+AB16+AB17</f>
        <v>372.52499999999998</v>
      </c>
      <c r="AC30" s="1"/>
    </row>
    <row r="31" spans="1:29" x14ac:dyDescent="0.3">
      <c r="A31" s="1" t="s">
        <v>70</v>
      </c>
      <c r="B31" s="2" t="s">
        <v>32</v>
      </c>
      <c r="C31" s="1" t="s">
        <v>51</v>
      </c>
      <c r="D31" s="30" t="e">
        <f t="shared" ref="D31:AA31" si="17">D30/D7</f>
        <v>#DIV/0!</v>
      </c>
      <c r="E31" s="30" t="e">
        <f t="shared" si="17"/>
        <v>#DIV/0!</v>
      </c>
      <c r="F31" s="30" t="e">
        <f t="shared" si="17"/>
        <v>#DIV/0!</v>
      </c>
      <c r="G31" s="30">
        <f t="shared" si="17"/>
        <v>4.0908184205029068</v>
      </c>
      <c r="H31" s="30">
        <f t="shared" si="17"/>
        <v>1.253300132240533</v>
      </c>
      <c r="I31" s="30">
        <f t="shared" si="17"/>
        <v>-80.739104067275733</v>
      </c>
      <c r="J31" s="30">
        <f t="shared" si="17"/>
        <v>29.449914877625972</v>
      </c>
      <c r="K31" s="30">
        <f t="shared" si="17"/>
        <v>37.958965892414355</v>
      </c>
      <c r="L31" s="30">
        <f t="shared" si="17"/>
        <v>-3.8479906634562151</v>
      </c>
      <c r="M31" s="30">
        <f t="shared" si="17"/>
        <v>-4.1205701685901852</v>
      </c>
      <c r="N31" s="30">
        <f t="shared" si="17"/>
        <v>7.8146467534467012</v>
      </c>
      <c r="O31" s="30">
        <f t="shared" si="17"/>
        <v>8.95969744362875</v>
      </c>
      <c r="P31" s="30">
        <f t="shared" si="17"/>
        <v>28.066333854065945</v>
      </c>
      <c r="Q31" s="30">
        <f t="shared" si="17"/>
        <v>27.073233627495529</v>
      </c>
      <c r="R31" s="30">
        <f t="shared" si="17"/>
        <v>10.561290976593426</v>
      </c>
      <c r="S31" s="30">
        <f t="shared" si="17"/>
        <v>-3.8789626695889212</v>
      </c>
      <c r="T31" s="30">
        <f t="shared" si="17"/>
        <v>2.5612632537001288</v>
      </c>
      <c r="U31" s="30">
        <f t="shared" si="17"/>
        <v>-5.4235874635707191</v>
      </c>
      <c r="V31" s="30">
        <f t="shared" si="17"/>
        <v>3.1286036795252228</v>
      </c>
      <c r="W31" s="30">
        <f t="shared" si="17"/>
        <v>-29.8521368</v>
      </c>
      <c r="X31" s="30">
        <f t="shared" si="17"/>
        <v>11.345221846846847</v>
      </c>
      <c r="Y31" s="30">
        <f t="shared" si="17"/>
        <v>11.375430711610488</v>
      </c>
      <c r="Z31" s="30">
        <f t="shared" si="17"/>
        <v>3.9302884615384617</v>
      </c>
      <c r="AA31" s="30">
        <f t="shared" si="17"/>
        <v>-6.082068311195445</v>
      </c>
      <c r="AB31" s="30">
        <f t="shared" ref="AB31" si="18">AB30/AB7</f>
        <v>4.0099569429494073</v>
      </c>
      <c r="AC31" s="1"/>
    </row>
    <row r="32" spans="1:29" x14ac:dyDescent="0.3">
      <c r="A32" s="18" t="s">
        <v>72</v>
      </c>
      <c r="B32" s="17" t="s">
        <v>33</v>
      </c>
      <c r="C32" s="6" t="s">
        <v>109</v>
      </c>
      <c r="D32" s="27" t="e">
        <f t="shared" ref="D32:AA32" si="19">D7/D6</f>
        <v>#DIV/0!</v>
      </c>
      <c r="E32" s="27" t="e">
        <f t="shared" si="19"/>
        <v>#DIV/0!</v>
      </c>
      <c r="F32" s="27" t="e">
        <f t="shared" si="19"/>
        <v>#DIV/0!</v>
      </c>
      <c r="G32" s="27">
        <f t="shared" si="19"/>
        <v>0.21536184649047702</v>
      </c>
      <c r="H32" s="27">
        <f t="shared" si="19"/>
        <v>1.1193783134092254</v>
      </c>
      <c r="I32" s="27">
        <f t="shared" si="19"/>
        <v>-1.7692022896198614E-2</v>
      </c>
      <c r="J32" s="27">
        <f t="shared" si="19"/>
        <v>5.1595357460431188E-2</v>
      </c>
      <c r="K32" s="27">
        <f t="shared" si="19"/>
        <v>5.1243100942763103E-2</v>
      </c>
      <c r="L32" s="27">
        <f t="shared" si="19"/>
        <v>-0.54245023666819392</v>
      </c>
      <c r="M32" s="27">
        <f t="shared" si="19"/>
        <v>-0.54245023666819392</v>
      </c>
      <c r="N32" s="27">
        <f t="shared" si="19"/>
        <v>0.18773166018000872</v>
      </c>
      <c r="O32" s="27">
        <f t="shared" si="19"/>
        <v>0.17807226028063664</v>
      </c>
      <c r="P32" s="27">
        <f t="shared" si="19"/>
        <v>6.5431588953938039E-2</v>
      </c>
      <c r="Q32" s="27">
        <f t="shared" si="19"/>
        <v>6.5431588953938039E-2</v>
      </c>
      <c r="R32" s="27">
        <f t="shared" si="19"/>
        <v>8.8196355410206276E-2</v>
      </c>
      <c r="S32" s="27">
        <f t="shared" si="19"/>
        <v>-0.35450044754864535</v>
      </c>
      <c r="T32" s="27">
        <f t="shared" si="19"/>
        <v>0.41421140672544482</v>
      </c>
      <c r="U32" s="27">
        <f t="shared" si="19"/>
        <v>-0.34741739166480629</v>
      </c>
      <c r="V32" s="27">
        <f t="shared" si="19"/>
        <v>0.72008547008547019</v>
      </c>
      <c r="W32" s="27">
        <f t="shared" si="19"/>
        <v>-0.10554089709762533</v>
      </c>
      <c r="X32" s="27">
        <f t="shared" si="19"/>
        <v>0.22424242424242424</v>
      </c>
      <c r="Y32" s="27">
        <f t="shared" si="19"/>
        <v>0.25236294896030248</v>
      </c>
      <c r="Z32" s="27">
        <f t="shared" si="19"/>
        <v>0.41293250141803739</v>
      </c>
      <c r="AA32" s="27">
        <f t="shared" si="19"/>
        <v>-0.60366552119129446</v>
      </c>
      <c r="AB32" s="27">
        <f t="shared" ref="AB32" si="20">AB7/AB6</f>
        <v>0.60481770833333337</v>
      </c>
      <c r="AC32" s="1"/>
    </row>
    <row r="33" spans="1:29" x14ac:dyDescent="0.3">
      <c r="A33" s="16" t="s">
        <v>73</v>
      </c>
      <c r="B33" s="2" t="s">
        <v>34</v>
      </c>
      <c r="C33" s="1" t="s">
        <v>110</v>
      </c>
      <c r="D33" s="28" t="e">
        <f t="shared" ref="D33:AA33" si="21">D8/D6</f>
        <v>#DIV/0!</v>
      </c>
      <c r="E33" s="28" t="e">
        <f t="shared" si="21"/>
        <v>#DIV/0!</v>
      </c>
      <c r="F33" s="28" t="e">
        <f t="shared" si="21"/>
        <v>#DIV/0!</v>
      </c>
      <c r="G33" s="28">
        <f t="shared" si="21"/>
        <v>2.4204401495944508E-2</v>
      </c>
      <c r="H33" s="28">
        <f t="shared" si="21"/>
        <v>0.63426263182554388</v>
      </c>
      <c r="I33" s="28">
        <f t="shared" si="21"/>
        <v>-0.37906652481820757</v>
      </c>
      <c r="J33" s="28">
        <f t="shared" si="21"/>
        <v>-0.30627129129145947</v>
      </c>
      <c r="K33" s="28">
        <f t="shared" si="21"/>
        <v>3.448547545970377E-2</v>
      </c>
      <c r="L33" s="28">
        <f t="shared" si="21"/>
        <v>-0.56037754958670161</v>
      </c>
      <c r="M33" s="28">
        <f t="shared" si="21"/>
        <v>-0.56037754958670161</v>
      </c>
      <c r="N33" s="28">
        <f t="shared" si="21"/>
        <v>0.17143562249984101</v>
      </c>
      <c r="O33" s="28">
        <f t="shared" si="21"/>
        <v>0.16391338841533426</v>
      </c>
      <c r="P33" s="28">
        <f t="shared" si="21"/>
        <v>4.9530487882033326E-2</v>
      </c>
      <c r="Q33" s="28">
        <f t="shared" si="21"/>
        <v>4.9530487882033326E-2</v>
      </c>
      <c r="R33" s="28">
        <f t="shared" si="21"/>
        <v>7.7679959118453865E-2</v>
      </c>
      <c r="S33" s="28">
        <f t="shared" si="21"/>
        <v>-0.36630257934644322</v>
      </c>
      <c r="T33" s="28">
        <f t="shared" si="21"/>
        <v>0.40507733452590161</v>
      </c>
      <c r="U33" s="28">
        <f t="shared" si="21"/>
        <v>-0.35512042431068996</v>
      </c>
      <c r="V33" s="28">
        <f t="shared" si="21"/>
        <v>0.36752136752136755</v>
      </c>
      <c r="W33" s="28">
        <f t="shared" si="21"/>
        <v>-0.54765701846965709</v>
      </c>
      <c r="X33" s="28">
        <f t="shared" si="21"/>
        <v>-0.18555983838383838</v>
      </c>
      <c r="Y33" s="28">
        <f t="shared" si="21"/>
        <v>-0.12620982986767487</v>
      </c>
      <c r="Z33" s="28">
        <f t="shared" si="21"/>
        <v>0.1803743618831537</v>
      </c>
      <c r="AA33" s="28">
        <f t="shared" si="21"/>
        <v>-1.1008018327605955</v>
      </c>
      <c r="AB33" s="28">
        <f t="shared" ref="AB33" si="22">AB8/AB6</f>
        <v>0.36914062500000006</v>
      </c>
      <c r="AC33" s="1"/>
    </row>
    <row r="34" spans="1:29" x14ac:dyDescent="0.3">
      <c r="A34" s="18" t="s">
        <v>74</v>
      </c>
      <c r="B34" s="17" t="s">
        <v>35</v>
      </c>
      <c r="C34" s="6" t="s">
        <v>54</v>
      </c>
      <c r="D34" s="27" t="e">
        <f t="shared" ref="D34:AA34" si="23">D11/D10</f>
        <v>#DIV/0!</v>
      </c>
      <c r="E34" s="27" t="e">
        <f t="shared" si="23"/>
        <v>#DIV/0!</v>
      </c>
      <c r="F34" s="27" t="e">
        <f t="shared" si="23"/>
        <v>#DIV/0!</v>
      </c>
      <c r="G34" s="27">
        <f t="shared" si="23"/>
        <v>0</v>
      </c>
      <c r="H34" s="27">
        <f t="shared" si="23"/>
        <v>-4.7067141933440377E-4</v>
      </c>
      <c r="I34" s="27">
        <f t="shared" si="23"/>
        <v>-1.9866152917242534E-3</v>
      </c>
      <c r="J34" s="27">
        <f t="shared" si="23"/>
        <v>-1.8331462651453708E-3</v>
      </c>
      <c r="K34" s="27">
        <f t="shared" si="23"/>
        <v>-5.4932232960080596E-2</v>
      </c>
      <c r="L34" s="27">
        <f t="shared" si="23"/>
        <v>-2.5255985700143144E-3</v>
      </c>
      <c r="M34" s="27">
        <f t="shared" si="23"/>
        <v>-2.5255985700143144E-3</v>
      </c>
      <c r="N34" s="27">
        <f t="shared" si="23"/>
        <v>0.35556093017305829</v>
      </c>
      <c r="O34" s="27">
        <f t="shared" si="23"/>
        <v>9.7344147284286392E-2</v>
      </c>
      <c r="P34" s="27">
        <f t="shared" si="23"/>
        <v>0.77446365146027485</v>
      </c>
      <c r="Q34" s="27">
        <f t="shared" si="23"/>
        <v>0.77446365146027485</v>
      </c>
      <c r="R34" s="27">
        <f t="shared" si="23"/>
        <v>0.48345512809991964</v>
      </c>
      <c r="S34" s="27">
        <f t="shared" si="23"/>
        <v>-3.3796839350882936E-2</v>
      </c>
      <c r="T34" s="27">
        <f t="shared" si="23"/>
        <v>2.828642253194126E-2</v>
      </c>
      <c r="U34" s="27">
        <f t="shared" si="23"/>
        <v>-8.5892197160093289E-2</v>
      </c>
      <c r="V34" s="27">
        <f t="shared" si="23"/>
        <v>2.9164611650485433E-2</v>
      </c>
      <c r="W34" s="27">
        <f t="shared" si="23"/>
        <v>-1.6443523574275927E-2</v>
      </c>
      <c r="X34" s="27">
        <f t="shared" si="23"/>
        <v>-2.3182063953488374E-2</v>
      </c>
      <c r="Y34" s="27">
        <f t="shared" si="23"/>
        <v>-3.2142857142857147E-2</v>
      </c>
      <c r="Z34" s="27">
        <f t="shared" si="23"/>
        <v>0.15454545454545454</v>
      </c>
      <c r="AA34" s="27">
        <f t="shared" si="23"/>
        <v>-5.1903114186851208E-3</v>
      </c>
      <c r="AB34" s="27">
        <f t="shared" ref="AB34" si="24">AB11/AB10</f>
        <v>3.5190615835777123E-2</v>
      </c>
      <c r="AC34" s="1"/>
    </row>
    <row r="35" spans="1:29" x14ac:dyDescent="0.3">
      <c r="A35" s="16" t="s">
        <v>75</v>
      </c>
      <c r="B35" s="2" t="s">
        <v>36</v>
      </c>
      <c r="C35" s="1" t="s">
        <v>108</v>
      </c>
      <c r="D35" s="28" t="e">
        <f t="shared" ref="D35:AA35" si="25">D12/D6</f>
        <v>#DIV/0!</v>
      </c>
      <c r="E35" s="28" t="e">
        <f t="shared" si="25"/>
        <v>#DIV/0!</v>
      </c>
      <c r="F35" s="28" t="e">
        <f t="shared" si="25"/>
        <v>#DIV/0!</v>
      </c>
      <c r="G35" s="28">
        <f t="shared" si="25"/>
        <v>1.5752692149885991E-2</v>
      </c>
      <c r="H35" s="28">
        <f t="shared" si="25"/>
        <v>-0.73986385260780818</v>
      </c>
      <c r="I35" s="28">
        <f t="shared" si="25"/>
        <v>-0.32815071856561057</v>
      </c>
      <c r="J35" s="28">
        <f t="shared" si="25"/>
        <v>-0.33687389024027264</v>
      </c>
      <c r="K35" s="28">
        <f t="shared" si="25"/>
        <v>-2.4617485460246599E-2</v>
      </c>
      <c r="L35" s="28">
        <f t="shared" si="25"/>
        <v>-0.66067372331615437</v>
      </c>
      <c r="M35" s="28">
        <f t="shared" si="25"/>
        <v>-0.66067372331615437</v>
      </c>
      <c r="N35" s="28">
        <f t="shared" si="25"/>
        <v>4.1077186005913216E-2</v>
      </c>
      <c r="O35" s="28">
        <f t="shared" si="25"/>
        <v>7.5536088595633211E-2</v>
      </c>
      <c r="P35" s="28">
        <f t="shared" si="25"/>
        <v>1.3413367339275E-3</v>
      </c>
      <c r="Q35" s="28">
        <f t="shared" si="25"/>
        <v>1.3413367339275E-3</v>
      </c>
      <c r="R35" s="28">
        <f t="shared" si="25"/>
        <v>5.247509461350758E-3</v>
      </c>
      <c r="S35" s="28">
        <f t="shared" si="25"/>
        <v>-0.49768474687831149</v>
      </c>
      <c r="T35" s="28">
        <f t="shared" si="25"/>
        <v>0.25917317466022871</v>
      </c>
      <c r="U35" s="28">
        <f t="shared" si="25"/>
        <v>-0.56061605091001132</v>
      </c>
      <c r="V35" s="28">
        <f t="shared" si="25"/>
        <v>0.20726495726495725</v>
      </c>
      <c r="W35" s="28">
        <f t="shared" si="25"/>
        <v>-0.77044854881266489</v>
      </c>
      <c r="X35" s="28">
        <f t="shared" si="25"/>
        <v>-0.35656565656565653</v>
      </c>
      <c r="Y35" s="28">
        <f t="shared" si="25"/>
        <v>-0.26843100189035918</v>
      </c>
      <c r="Z35" s="28">
        <f t="shared" si="25"/>
        <v>5.3885422575155981E-2</v>
      </c>
      <c r="AA35" s="28">
        <f t="shared" si="25"/>
        <v>-1.327605956471936</v>
      </c>
      <c r="AB35" s="28">
        <f t="shared" ref="AB35" si="26">AB12/AB6</f>
        <v>0.21744791666666666</v>
      </c>
      <c r="AC35" s="1"/>
    </row>
    <row r="36" spans="1:29" x14ac:dyDescent="0.3">
      <c r="A36" s="18" t="s">
        <v>76</v>
      </c>
      <c r="B36" s="17" t="s">
        <v>37</v>
      </c>
      <c r="C36" s="6" t="s">
        <v>56</v>
      </c>
      <c r="D36" s="29" t="e">
        <f t="shared" ref="D36:F36" si="27">D26/D12</f>
        <v>#DIV/0!</v>
      </c>
      <c r="E36" s="29" t="e">
        <f t="shared" si="27"/>
        <v>#DIV/0!</v>
      </c>
      <c r="F36" s="29" t="e">
        <f t="shared" si="27"/>
        <v>#DIV/0!</v>
      </c>
      <c r="G36" s="29">
        <f t="shared" ref="G36:AA36" si="28">IF(G26/G12&lt;0,0,G26/G12)</f>
        <v>26.809088490991304</v>
      </c>
      <c r="H36" s="29">
        <f t="shared" si="28"/>
        <v>0</v>
      </c>
      <c r="I36" s="29">
        <f t="shared" si="28"/>
        <v>0</v>
      </c>
      <c r="J36" s="29">
        <f t="shared" si="28"/>
        <v>0</v>
      </c>
      <c r="K36" s="29">
        <f t="shared" si="28"/>
        <v>0</v>
      </c>
      <c r="L36" s="29">
        <f t="shared" si="28"/>
        <v>0</v>
      </c>
      <c r="M36" s="29">
        <f t="shared" si="28"/>
        <v>0</v>
      </c>
      <c r="N36" s="29">
        <f t="shared" si="28"/>
        <v>13.359251314767445</v>
      </c>
      <c r="O36" s="29">
        <f t="shared" si="28"/>
        <v>4.0798143801023175</v>
      </c>
      <c r="P36" s="29">
        <f t="shared" si="28"/>
        <v>256.21781101995396</v>
      </c>
      <c r="Q36" s="29">
        <f t="shared" si="28"/>
        <v>174.69396205905949</v>
      </c>
      <c r="R36" s="29">
        <f t="shared" si="28"/>
        <v>15.27679645578322</v>
      </c>
      <c r="S36" s="29">
        <f t="shared" si="28"/>
        <v>0</v>
      </c>
      <c r="T36" s="29">
        <f t="shared" si="28"/>
        <v>0.28775357669087814</v>
      </c>
      <c r="U36" s="29">
        <f t="shared" si="28"/>
        <v>0</v>
      </c>
      <c r="V36" s="29">
        <f t="shared" si="28"/>
        <v>0.81185567010309279</v>
      </c>
      <c r="W36" s="29">
        <f t="shared" si="28"/>
        <v>0</v>
      </c>
      <c r="X36" s="29">
        <f t="shared" si="28"/>
        <v>0</v>
      </c>
      <c r="Y36" s="29">
        <f t="shared" si="28"/>
        <v>0</v>
      </c>
      <c r="Z36" s="29">
        <f t="shared" si="28"/>
        <v>1.5394736842105263</v>
      </c>
      <c r="AA36" s="29">
        <f t="shared" si="28"/>
        <v>0</v>
      </c>
      <c r="AB36" s="29">
        <f t="shared" ref="AB36" si="29">IF(AB26/AB12&lt;0,0,AB26/AB12)</f>
        <v>0.51871257485029942</v>
      </c>
      <c r="AC36" s="1"/>
    </row>
    <row r="37" spans="1:29" x14ac:dyDescent="0.3">
      <c r="A37" s="16" t="s">
        <v>77</v>
      </c>
      <c r="B37" s="2" t="s">
        <v>38</v>
      </c>
      <c r="C37" s="1" t="s">
        <v>57</v>
      </c>
      <c r="D37" s="30" t="e">
        <f t="shared" ref="D37:AA37" si="30">D26/D23</f>
        <v>#DIV/0!</v>
      </c>
      <c r="E37" s="30" t="e">
        <f t="shared" si="30"/>
        <v>#DIV/0!</v>
      </c>
      <c r="F37" s="30" t="e">
        <f t="shared" si="30"/>
        <v>#DIV/0!</v>
      </c>
      <c r="G37" s="30">
        <f t="shared" si="30"/>
        <v>0.78894943452100774</v>
      </c>
      <c r="H37" s="30">
        <f t="shared" si="30"/>
        <v>20.79527661795407</v>
      </c>
      <c r="I37" s="30">
        <f t="shared" si="30"/>
        <v>1.43470795789882</v>
      </c>
      <c r="J37" s="30">
        <f t="shared" si="30"/>
        <v>2.9695924865350634</v>
      </c>
      <c r="K37" s="30">
        <f t="shared" si="30"/>
        <v>0.9792530211690601</v>
      </c>
      <c r="L37" s="30">
        <f t="shared" si="30"/>
        <v>1.0482373412635135</v>
      </c>
      <c r="M37" s="30">
        <f t="shared" si="30"/>
        <v>5.1664087319522842</v>
      </c>
      <c r="N37" s="30">
        <f t="shared" si="30"/>
        <v>3.1197089761632504</v>
      </c>
      <c r="O37" s="30">
        <f t="shared" si="30"/>
        <v>0.92204293804679349</v>
      </c>
      <c r="P37" s="30">
        <f t="shared" si="30"/>
        <v>0.86730306854453842</v>
      </c>
      <c r="Q37" s="30">
        <f t="shared" si="30"/>
        <v>0.5913430012803671</v>
      </c>
      <c r="R37" s="30">
        <f t="shared" si="30"/>
        <v>0.30911130028913497</v>
      </c>
      <c r="S37" s="30">
        <f t="shared" si="30"/>
        <v>-0.2607027360752151</v>
      </c>
      <c r="T37" s="30">
        <f t="shared" si="30"/>
        <v>0.76697623225875822</v>
      </c>
      <c r="U37" s="30">
        <f t="shared" si="30"/>
        <v>-0.38784492493197209</v>
      </c>
      <c r="V37" s="30">
        <f t="shared" si="30"/>
        <v>0.64814814814814803</v>
      </c>
      <c r="W37" s="30">
        <f t="shared" si="30"/>
        <v>-0.46205357142857134</v>
      </c>
      <c r="X37" s="30">
        <f t="shared" si="30"/>
        <v>-0.21584302325581398</v>
      </c>
      <c r="Y37" s="30">
        <f t="shared" si="30"/>
        <v>-0.16203703703703701</v>
      </c>
      <c r="Z37" s="30">
        <f t="shared" si="30"/>
        <v>-0.15692060085836909</v>
      </c>
      <c r="AA37" s="30">
        <f t="shared" si="30"/>
        <v>-7.8550932568149212E-2</v>
      </c>
      <c r="AB37" s="30">
        <f t="shared" ref="AB37" si="31">AB26/AB23</f>
        <v>-9.8605577689243024E-2</v>
      </c>
      <c r="AC37" s="1"/>
    </row>
    <row r="38" spans="1:29" x14ac:dyDescent="0.3">
      <c r="A38" s="18" t="s">
        <v>78</v>
      </c>
      <c r="B38" s="17" t="s">
        <v>39</v>
      </c>
      <c r="C38" s="6" t="s">
        <v>106</v>
      </c>
      <c r="D38" s="55" t="e">
        <f t="shared" ref="D38:AA38" si="32">D8/D23</f>
        <v>#DIV/0!</v>
      </c>
      <c r="E38" s="55" t="e">
        <f t="shared" si="32"/>
        <v>#DIV/0!</v>
      </c>
      <c r="F38" s="55" t="e">
        <f t="shared" si="32"/>
        <v>#DIV/0!</v>
      </c>
      <c r="G38" s="55">
        <f t="shared" si="32"/>
        <v>4.5217514183065521E-2</v>
      </c>
      <c r="H38" s="55">
        <f t="shared" si="32"/>
        <v>32.999559629436327</v>
      </c>
      <c r="I38" s="55">
        <f t="shared" si="32"/>
        <v>-0.53597507809694778</v>
      </c>
      <c r="J38" s="55">
        <f t="shared" si="32"/>
        <v>-1.0153639909937209</v>
      </c>
      <c r="K38" s="55">
        <f t="shared" si="32"/>
        <v>4.1016719601589501E-2</v>
      </c>
      <c r="L38" s="55">
        <f t="shared" si="32"/>
        <v>-0.68528375890710558</v>
      </c>
      <c r="M38" s="55">
        <f t="shared" si="32"/>
        <v>-3.5243820457835024</v>
      </c>
      <c r="N38" s="55">
        <f t="shared" si="32"/>
        <v>0.97461332940412115</v>
      </c>
      <c r="O38" s="55">
        <f t="shared" si="32"/>
        <v>0.49042282781612118</v>
      </c>
      <c r="P38" s="55">
        <f t="shared" si="32"/>
        <v>0.12499606866412112</v>
      </c>
      <c r="Q38" s="55">
        <f t="shared" si="32"/>
        <v>0.12499606866412112</v>
      </c>
      <c r="R38" s="55">
        <f t="shared" si="32"/>
        <v>0.2995286353195466</v>
      </c>
      <c r="S38" s="55">
        <f t="shared" si="32"/>
        <v>2.0888851758499207</v>
      </c>
      <c r="T38" s="55">
        <f t="shared" si="32"/>
        <v>4.1659022033194999</v>
      </c>
      <c r="U38" s="55">
        <f t="shared" si="32"/>
        <v>0.77981171149539086</v>
      </c>
      <c r="V38" s="55">
        <f t="shared" si="32"/>
        <v>1.4156378600823045</v>
      </c>
      <c r="W38" s="55">
        <f t="shared" si="32"/>
        <v>1.2354881547619048</v>
      </c>
      <c r="X38" s="55">
        <f t="shared" si="32"/>
        <v>0.26701197674418603</v>
      </c>
      <c r="Y38" s="55">
        <f t="shared" si="32"/>
        <v>0.13737654320987655</v>
      </c>
      <c r="Z38" s="55">
        <f t="shared" si="32"/>
        <v>-0.34120171673819744</v>
      </c>
      <c r="AA38" s="55">
        <f t="shared" si="32"/>
        <v>0.45958871353419417</v>
      </c>
      <c r="AB38" s="55">
        <f t="shared" ref="AB38" si="33">AB8/AB23</f>
        <v>-0.32270916334661359</v>
      </c>
      <c r="AC38" s="1"/>
    </row>
    <row r="39" spans="1:29" x14ac:dyDescent="0.3">
      <c r="A39" s="16" t="s">
        <v>79</v>
      </c>
      <c r="B39" s="2" t="s">
        <v>40</v>
      </c>
      <c r="C39" s="1" t="s">
        <v>107</v>
      </c>
      <c r="D39" s="56" t="e">
        <f t="shared" ref="D39:AA39" si="34">D12/D23</f>
        <v>#DIV/0!</v>
      </c>
      <c r="E39" s="56" t="e">
        <f t="shared" si="34"/>
        <v>#DIV/0!</v>
      </c>
      <c r="F39" s="56" t="e">
        <f t="shared" si="34"/>
        <v>#DIV/0!</v>
      </c>
      <c r="G39" s="56">
        <f t="shared" si="34"/>
        <v>2.9428431883691965E-2</v>
      </c>
      <c r="H39" s="56">
        <f t="shared" si="34"/>
        <v>-38.493803823068895</v>
      </c>
      <c r="I39" s="56">
        <f t="shared" si="34"/>
        <v>-0.46398348441641307</v>
      </c>
      <c r="J39" s="56">
        <f t="shared" si="34"/>
        <v>-1.1168190665655191</v>
      </c>
      <c r="K39" s="56">
        <f t="shared" si="34"/>
        <v>-2.9279819546029096E-2</v>
      </c>
      <c r="L39" s="56">
        <f t="shared" si="34"/>
        <v>-0.80793560138011555</v>
      </c>
      <c r="M39" s="56">
        <f t="shared" si="34"/>
        <v>-4.1551746858769034</v>
      </c>
      <c r="N39" s="56">
        <f t="shared" si="34"/>
        <v>0.2335242374484485</v>
      </c>
      <c r="O39" s="56">
        <f t="shared" si="34"/>
        <v>0.22600119812893782</v>
      </c>
      <c r="P39" s="56">
        <f t="shared" si="34"/>
        <v>3.3850225520699415E-3</v>
      </c>
      <c r="Q39" s="56">
        <f t="shared" si="34"/>
        <v>3.3850225520699415E-3</v>
      </c>
      <c r="R39" s="56">
        <f t="shared" si="34"/>
        <v>2.0234039327801417E-2</v>
      </c>
      <c r="S39" s="56">
        <f t="shared" si="34"/>
        <v>2.8381080249437218</v>
      </c>
      <c r="T39" s="56">
        <f t="shared" si="34"/>
        <v>2.6653925246694303</v>
      </c>
      <c r="U39" s="56">
        <f t="shared" si="34"/>
        <v>1.2310611618594056</v>
      </c>
      <c r="V39" s="56">
        <f t="shared" si="34"/>
        <v>0.79835390946502049</v>
      </c>
      <c r="W39" s="56">
        <f t="shared" si="34"/>
        <v>1.7380952380952379</v>
      </c>
      <c r="X39" s="56">
        <f t="shared" si="34"/>
        <v>0.51308139534883723</v>
      </c>
      <c r="Y39" s="56">
        <f t="shared" si="34"/>
        <v>0.29218106995884774</v>
      </c>
      <c r="Z39" s="56">
        <f t="shared" si="34"/>
        <v>-0.101931330472103</v>
      </c>
      <c r="AA39" s="56">
        <f t="shared" si="34"/>
        <v>0.55428024868483983</v>
      </c>
      <c r="AB39" s="56">
        <f t="shared" ref="AB39" si="35">AB12/AB23</f>
        <v>-0.19009675583380764</v>
      </c>
      <c r="AC39" s="1"/>
    </row>
    <row r="40" spans="1:29" x14ac:dyDescent="0.3">
      <c r="A40" s="18" t="s">
        <v>80</v>
      </c>
      <c r="B40" s="17" t="s">
        <v>41</v>
      </c>
      <c r="C40" s="6" t="s">
        <v>61</v>
      </c>
      <c r="D40" s="7">
        <f t="shared" ref="D40:AA40" si="36">D20-D19</f>
        <v>0</v>
      </c>
      <c r="E40" s="7">
        <f t="shared" si="36"/>
        <v>0</v>
      </c>
      <c r="F40" s="7">
        <f t="shared" si="36"/>
        <v>0</v>
      </c>
      <c r="G40" s="7">
        <f t="shared" si="36"/>
        <v>-4.717889999999997</v>
      </c>
      <c r="H40" s="7">
        <f t="shared" si="36"/>
        <v>-42.215379999999996</v>
      </c>
      <c r="I40" s="7">
        <f t="shared" si="36"/>
        <v>-28.095371</v>
      </c>
      <c r="J40" s="7">
        <f t="shared" si="36"/>
        <v>-19.068293999999998</v>
      </c>
      <c r="K40" s="7">
        <f t="shared" si="36"/>
        <v>3.3516419999999982</v>
      </c>
      <c r="L40" s="7">
        <f t="shared" si="36"/>
        <v>-17.567639</v>
      </c>
      <c r="M40" s="7">
        <f t="shared" si="36"/>
        <v>-40.87051000000001</v>
      </c>
      <c r="N40" s="7">
        <f t="shared" si="36"/>
        <v>-8.8110280000000074</v>
      </c>
      <c r="O40" s="7">
        <f t="shared" si="36"/>
        <v>-46.135445000000004</v>
      </c>
      <c r="P40" s="7">
        <f t="shared" si="36"/>
        <v>-32.452236999999997</v>
      </c>
      <c r="Q40" s="7">
        <f t="shared" si="36"/>
        <v>-32.452236999999997</v>
      </c>
      <c r="R40" s="7">
        <f t="shared" si="36"/>
        <v>-42.282498000000018</v>
      </c>
      <c r="S40" s="7">
        <f t="shared" si="36"/>
        <v>-113.781374</v>
      </c>
      <c r="T40" s="7">
        <f t="shared" si="36"/>
        <v>-48.047878999999995</v>
      </c>
      <c r="U40" s="7">
        <f t="shared" si="36"/>
        <v>-84.194416000000018</v>
      </c>
      <c r="V40" s="7">
        <f t="shared" si="36"/>
        <v>-24.884576999999993</v>
      </c>
      <c r="W40" s="7">
        <f t="shared" si="36"/>
        <v>-87.248494000000008</v>
      </c>
      <c r="X40" s="7">
        <f t="shared" si="36"/>
        <v>-134.85803200000001</v>
      </c>
      <c r="Y40" s="7">
        <f t="shared" si="36"/>
        <v>-47.241000000000014</v>
      </c>
      <c r="Z40" s="7">
        <f t="shared" si="36"/>
        <v>-73.5</v>
      </c>
      <c r="AA40" s="7">
        <f t="shared" si="36"/>
        <v>-185.5</v>
      </c>
      <c r="AB40" s="7">
        <f t="shared" ref="AB40" si="37">AB20-AB19</f>
        <v>-127.80000000000001</v>
      </c>
      <c r="AC40" s="1"/>
    </row>
    <row r="41" spans="1:29" x14ac:dyDescent="0.3">
      <c r="A41" s="53" t="s">
        <v>96</v>
      </c>
      <c r="B41" s="49" t="s">
        <v>42</v>
      </c>
      <c r="C41" s="52" t="s">
        <v>98</v>
      </c>
      <c r="D41" s="29" t="e">
        <f>D20/D19</f>
        <v>#DIV/0!</v>
      </c>
      <c r="E41" s="29" t="e">
        <f t="shared" ref="E41:AA41" si="38">E20/E19</f>
        <v>#DIV/0!</v>
      </c>
      <c r="F41" s="29" t="e">
        <f t="shared" si="38"/>
        <v>#DIV/0!</v>
      </c>
      <c r="G41" s="29">
        <f t="shared" si="38"/>
        <v>0.83234477937970397</v>
      </c>
      <c r="H41" s="29">
        <f t="shared" si="38"/>
        <v>0.20015703041242178</v>
      </c>
      <c r="I41" s="29">
        <f t="shared" si="38"/>
        <v>0.24721721891979254</v>
      </c>
      <c r="J41" s="29">
        <f t="shared" si="38"/>
        <v>0.42858874924536705</v>
      </c>
      <c r="K41" s="29">
        <f t="shared" si="38"/>
        <v>1.0422477540311019</v>
      </c>
      <c r="L41" s="29">
        <f t="shared" si="38"/>
        <v>0.81227540012619526</v>
      </c>
      <c r="M41" s="29">
        <f t="shared" si="38"/>
        <v>0.60061411043912982</v>
      </c>
      <c r="N41" s="29">
        <f t="shared" si="38"/>
        <v>0.88643888569718987</v>
      </c>
      <c r="O41" s="29">
        <f t="shared" si="38"/>
        <v>0.62986881477122947</v>
      </c>
      <c r="P41" s="29">
        <f t="shared" si="38"/>
        <v>0.71733510057124861</v>
      </c>
      <c r="Q41" s="29">
        <f t="shared" si="38"/>
        <v>0.71733510057124861</v>
      </c>
      <c r="R41" s="29">
        <f t="shared" si="38"/>
        <v>0.69984954320977744</v>
      </c>
      <c r="S41" s="29">
        <f t="shared" si="38"/>
        <v>0.33194386616032168</v>
      </c>
      <c r="T41" s="29">
        <f t="shared" si="38"/>
        <v>0.68785370602902984</v>
      </c>
      <c r="U41" s="29">
        <f t="shared" si="38"/>
        <v>0.53310037933451948</v>
      </c>
      <c r="V41" s="29">
        <f t="shared" si="38"/>
        <v>0.83570308292543416</v>
      </c>
      <c r="W41" s="29">
        <f t="shared" si="38"/>
        <v>0.56819917149823429</v>
      </c>
      <c r="X41" s="29">
        <f t="shared" si="38"/>
        <v>0.4039244242048457</v>
      </c>
      <c r="Y41" s="29">
        <f t="shared" si="38"/>
        <v>0.77872549708424077</v>
      </c>
      <c r="Z41" s="29">
        <f t="shared" si="38"/>
        <v>0.64983325393044311</v>
      </c>
      <c r="AA41" s="29">
        <f t="shared" si="38"/>
        <v>0.275390625</v>
      </c>
      <c r="AB41" s="29">
        <f t="shared" ref="AB41" si="39">AB20/AB19</f>
        <v>0.45709430756159725</v>
      </c>
      <c r="AC41" s="1"/>
    </row>
    <row r="42" spans="1:29" x14ac:dyDescent="0.3">
      <c r="A42" s="16" t="s">
        <v>81</v>
      </c>
      <c r="B42" s="17" t="s">
        <v>43</v>
      </c>
      <c r="C42" s="1" t="s">
        <v>60</v>
      </c>
      <c r="D42" s="30" t="e">
        <f t="shared" ref="D42:AA42" si="40">(D20-D21)/D19</f>
        <v>#DIV/0!</v>
      </c>
      <c r="E42" s="30" t="e">
        <f t="shared" si="40"/>
        <v>#DIV/0!</v>
      </c>
      <c r="F42" s="30" t="e">
        <f t="shared" si="40"/>
        <v>#DIV/0!</v>
      </c>
      <c r="G42" s="30">
        <f t="shared" si="40"/>
        <v>0.83234477937970397</v>
      </c>
      <c r="H42" s="30">
        <f t="shared" si="40"/>
        <v>0.20015703041242178</v>
      </c>
      <c r="I42" s="30">
        <f t="shared" si="40"/>
        <v>0.22727137783768164</v>
      </c>
      <c r="J42" s="30">
        <f t="shared" si="40"/>
        <v>0.41190216779921301</v>
      </c>
      <c r="K42" s="30">
        <f t="shared" si="40"/>
        <v>1.0276290369979855</v>
      </c>
      <c r="L42" s="30">
        <f t="shared" si="40"/>
        <v>0.7955044249119082</v>
      </c>
      <c r="M42" s="30">
        <f t="shared" si="40"/>
        <v>0.6001568109957468</v>
      </c>
      <c r="N42" s="30">
        <f t="shared" si="40"/>
        <v>0.88586273016883632</v>
      </c>
      <c r="O42" s="30">
        <f t="shared" si="40"/>
        <v>0.62491135910940487</v>
      </c>
      <c r="P42" s="30">
        <f t="shared" si="40"/>
        <v>0.71238438975069374</v>
      </c>
      <c r="Q42" s="30">
        <f t="shared" si="40"/>
        <v>0.71238438975069374</v>
      </c>
      <c r="R42" s="30">
        <f t="shared" si="40"/>
        <v>0.69554187195789952</v>
      </c>
      <c r="S42" s="30">
        <f t="shared" si="40"/>
        <v>0.32744824556239766</v>
      </c>
      <c r="T42" s="30">
        <f t="shared" si="40"/>
        <v>0.68062592375912812</v>
      </c>
      <c r="U42" s="30">
        <f t="shared" si="40"/>
        <v>0.52424432538897514</v>
      </c>
      <c r="V42" s="30">
        <f t="shared" si="40"/>
        <v>0.82130789303464968</v>
      </c>
      <c r="W42" s="30">
        <f t="shared" si="40"/>
        <v>0.55558207993947695</v>
      </c>
      <c r="X42" s="30">
        <f t="shared" si="40"/>
        <v>0.39020005451921314</v>
      </c>
      <c r="Y42" s="30">
        <f t="shared" si="40"/>
        <v>0.76467364575282792</v>
      </c>
      <c r="Z42" s="30">
        <f t="shared" si="40"/>
        <v>0.63601715102429723</v>
      </c>
      <c r="AA42" s="30">
        <f t="shared" si="40"/>
        <v>0.26171875</v>
      </c>
      <c r="AB42" s="30">
        <f t="shared" ref="AB42" si="41">(AB20-AB21)/AB19</f>
        <v>0.44137638062871704</v>
      </c>
      <c r="AC42" s="1"/>
    </row>
    <row r="43" spans="1:29" x14ac:dyDescent="0.3">
      <c r="A43" s="18" t="s">
        <v>82</v>
      </c>
      <c r="B43" s="49" t="s">
        <v>44</v>
      </c>
      <c r="C43" s="6" t="s">
        <v>62</v>
      </c>
      <c r="D43" s="29" t="e">
        <f t="shared" ref="D43:AA43" si="42">D14/D19</f>
        <v>#DIV/0!</v>
      </c>
      <c r="E43" s="29" t="e">
        <f t="shared" si="42"/>
        <v>#DIV/0!</v>
      </c>
      <c r="F43" s="29" t="e">
        <f t="shared" si="42"/>
        <v>#DIV/0!</v>
      </c>
      <c r="G43" s="29">
        <f t="shared" si="42"/>
        <v>-0.11987592229400902</v>
      </c>
      <c r="H43" s="29">
        <f t="shared" si="42"/>
        <v>-3.7621838064850269E-2</v>
      </c>
      <c r="I43" s="29">
        <f t="shared" si="42"/>
        <v>-2.0666086204989572E-4</v>
      </c>
      <c r="J43" s="29">
        <f t="shared" si="42"/>
        <v>-7.710426859918241E-3</v>
      </c>
      <c r="K43" s="29">
        <f t="shared" si="42"/>
        <v>1.5492338108587368E-2</v>
      </c>
      <c r="L43" s="29">
        <f t="shared" si="42"/>
        <v>2.6436116288033926E-2</v>
      </c>
      <c r="M43" s="29">
        <f t="shared" si="42"/>
        <v>2.4175336328413254E-2</v>
      </c>
      <c r="N43" s="29">
        <f t="shared" si="42"/>
        <v>8.7994207898923066E-2</v>
      </c>
      <c r="O43" s="29">
        <f t="shared" si="42"/>
        <v>2.7889587133656496E-2</v>
      </c>
      <c r="P43" s="29">
        <f t="shared" si="42"/>
        <v>6.0538536633633011E-2</v>
      </c>
      <c r="Q43" s="29">
        <f t="shared" si="42"/>
        <v>3.8272514775953205E-2</v>
      </c>
      <c r="R43" s="29">
        <f t="shared" si="42"/>
        <v>0.15999616954545862</v>
      </c>
      <c r="S43" s="29">
        <f t="shared" si="42"/>
        <v>1.1252875709721808E-2</v>
      </c>
      <c r="T43" s="29">
        <f t="shared" si="42"/>
        <v>0.1157544512353571</v>
      </c>
      <c r="U43" s="29">
        <f t="shared" si="42"/>
        <v>8.2990750742809191E-2</v>
      </c>
      <c r="V43" s="29">
        <f t="shared" si="42"/>
        <v>0.16571921711072707</v>
      </c>
      <c r="W43" s="29">
        <f t="shared" si="42"/>
        <v>6.6317833542475363E-2</v>
      </c>
      <c r="X43" s="29">
        <f t="shared" si="42"/>
        <v>6.4532332835831777E-2</v>
      </c>
      <c r="Y43" s="29">
        <f t="shared" si="42"/>
        <v>0.2337291271458348</v>
      </c>
      <c r="Z43" s="29">
        <f t="shared" si="42"/>
        <v>4.3353978084802285E-2</v>
      </c>
      <c r="AA43" s="29">
        <f t="shared" si="42"/>
        <v>2.1484375E-2</v>
      </c>
      <c r="AB43" s="29">
        <f t="shared" ref="AB43" si="43">AB14/AB19</f>
        <v>3.610875106202209E-2</v>
      </c>
      <c r="AC43" s="1"/>
    </row>
    <row r="44" spans="1:29" x14ac:dyDescent="0.3">
      <c r="A44" s="16" t="s">
        <v>83</v>
      </c>
      <c r="B44" s="17" t="s">
        <v>45</v>
      </c>
      <c r="C44" s="1" t="s">
        <v>63</v>
      </c>
      <c r="D44" s="30" t="e">
        <f t="shared" ref="D44:AA44" si="44">D29/D7</f>
        <v>#DIV/0!</v>
      </c>
      <c r="E44" s="30" t="e">
        <f t="shared" si="44"/>
        <v>#DIV/0!</v>
      </c>
      <c r="F44" s="30" t="e">
        <f t="shared" si="44"/>
        <v>#DIV/0!</v>
      </c>
      <c r="G44" s="30">
        <f t="shared" si="44"/>
        <v>2.1298614325328402</v>
      </c>
      <c r="H44" s="30">
        <f t="shared" si="44"/>
        <v>0.89623388931114489</v>
      </c>
      <c r="I44" s="30">
        <f t="shared" si="44"/>
        <v>-23.386010003580935</v>
      </c>
      <c r="J44" s="30">
        <f t="shared" si="44"/>
        <v>12.041643955913596</v>
      </c>
      <c r="K44" s="30">
        <f t="shared" si="44"/>
        <v>21.850015603124003</v>
      </c>
      <c r="L44" s="30">
        <f t="shared" si="44"/>
        <v>-2.2642156576571884</v>
      </c>
      <c r="M44" s="30">
        <f t="shared" si="44"/>
        <v>-2.6035683142182573</v>
      </c>
      <c r="N44" s="30">
        <f t="shared" si="44"/>
        <v>4.8793456187367621</v>
      </c>
      <c r="O44" s="30">
        <f t="shared" si="44"/>
        <v>7.2174632983437412</v>
      </c>
      <c r="P44" s="30">
        <f t="shared" si="44"/>
        <v>22.784154607979598</v>
      </c>
      <c r="Q44" s="30">
        <f t="shared" si="44"/>
        <v>23.462279779578633</v>
      </c>
      <c r="R44" s="30">
        <f t="shared" si="44"/>
        <v>9.6461596493817137</v>
      </c>
      <c r="S44" s="30">
        <f t="shared" si="44"/>
        <v>-3.7545234589133041</v>
      </c>
      <c r="T44" s="30">
        <f t="shared" si="44"/>
        <v>2.3869465811529142</v>
      </c>
      <c r="U44" s="30">
        <f t="shared" si="44"/>
        <v>-4.9223303957353561</v>
      </c>
      <c r="V44" s="30">
        <f t="shared" si="44"/>
        <v>2.0230580563798219</v>
      </c>
      <c r="W44" s="30">
        <f t="shared" si="44"/>
        <v>-20.4811753</v>
      </c>
      <c r="X44" s="30">
        <f t="shared" si="44"/>
        <v>7.9871137387387394</v>
      </c>
      <c r="Y44" s="30">
        <f t="shared" si="44"/>
        <v>8.5720599250936331</v>
      </c>
      <c r="Z44" s="30">
        <f t="shared" si="44"/>
        <v>2.927197802197802</v>
      </c>
      <c r="AA44" s="30">
        <f t="shared" si="44"/>
        <v>-4.6717267552182156</v>
      </c>
      <c r="AB44" s="30">
        <f t="shared" ref="AB44" si="45">AB29/AB7</f>
        <v>3.2055974165769645</v>
      </c>
      <c r="AC44" s="1"/>
    </row>
    <row r="45" spans="1:29" x14ac:dyDescent="0.3">
      <c r="A45" s="18" t="s">
        <v>84</v>
      </c>
      <c r="B45" s="54" t="s">
        <v>99</v>
      </c>
      <c r="C45" s="6" t="s">
        <v>64</v>
      </c>
      <c r="D45" s="29" t="e">
        <f t="shared" ref="D45:AA45" si="46">D18/D23</f>
        <v>#DIV/0!</v>
      </c>
      <c r="E45" s="29" t="e">
        <f t="shared" si="46"/>
        <v>#DIV/0!</v>
      </c>
      <c r="F45" s="29" t="e">
        <f t="shared" si="46"/>
        <v>#DIV/0!</v>
      </c>
      <c r="G45" s="29">
        <f t="shared" si="46"/>
        <v>1.8324751362482716</v>
      </c>
      <c r="H45" s="29">
        <f t="shared" si="46"/>
        <v>93.571113322025042</v>
      </c>
      <c r="I45" s="29">
        <f t="shared" si="46"/>
        <v>1.4737330835217333</v>
      </c>
      <c r="J45" s="29">
        <f t="shared" si="46"/>
        <v>4.5670933022449987</v>
      </c>
      <c r="K45" s="29">
        <f t="shared" si="46"/>
        <v>2.958962744357363</v>
      </c>
      <c r="L45" s="29">
        <f t="shared" si="46"/>
        <v>3.534040898832814</v>
      </c>
      <c r="M45" s="29">
        <f t="shared" si="46"/>
        <v>17.044820876048664</v>
      </c>
      <c r="N45" s="29">
        <f t="shared" si="46"/>
        <v>12.063746467304675</v>
      </c>
      <c r="O45" s="29">
        <f t="shared" si="46"/>
        <v>7.0600847963373994</v>
      </c>
      <c r="P45" s="29">
        <f t="shared" si="46"/>
        <v>7.0116584367782062</v>
      </c>
      <c r="Q45" s="29">
        <f t="shared" si="46"/>
        <v>7.0116584367782062</v>
      </c>
      <c r="R45" s="29">
        <f t="shared" si="46"/>
        <v>8.6735654584607875</v>
      </c>
      <c r="S45" s="29">
        <f t="shared" si="46"/>
        <v>-17.647610718674493</v>
      </c>
      <c r="T45" s="29">
        <f t="shared" si="46"/>
        <v>28.873078544266004</v>
      </c>
      <c r="U45" s="29">
        <f t="shared" si="46"/>
        <v>-7.0602374427456205</v>
      </c>
      <c r="V45" s="29">
        <f t="shared" si="46"/>
        <v>13.781893004115226</v>
      </c>
      <c r="W45" s="29">
        <f t="shared" si="46"/>
        <v>-12.160714285714286</v>
      </c>
      <c r="X45" s="29">
        <f t="shared" si="46"/>
        <v>-6.5</v>
      </c>
      <c r="Y45" s="29">
        <f t="shared" si="46"/>
        <v>-5.3837448559670777</v>
      </c>
      <c r="Z45" s="29">
        <f t="shared" si="46"/>
        <v>-5.005364806866953</v>
      </c>
      <c r="AA45" s="29">
        <f t="shared" si="46"/>
        <v>-2.4380679100908655</v>
      </c>
      <c r="AB45" s="29">
        <f t="shared" ref="AB45" si="47">AB18/AB23</f>
        <v>-3.3215708594194653</v>
      </c>
      <c r="AC45" s="1"/>
    </row>
    <row r="46" spans="1:29" x14ac:dyDescent="0.3">
      <c r="A46" s="18" t="s">
        <v>97</v>
      </c>
      <c r="B46" s="17" t="s">
        <v>100</v>
      </c>
      <c r="C46" s="6" t="s">
        <v>111</v>
      </c>
      <c r="D46" s="28">
        <f t="shared" ref="D46:AB46" si="48">D13/D4</f>
        <v>0</v>
      </c>
      <c r="E46" s="28">
        <f t="shared" si="48"/>
        <v>0</v>
      </c>
      <c r="F46" s="28">
        <f t="shared" si="48"/>
        <v>0</v>
      </c>
      <c r="G46" s="28">
        <f t="shared" si="48"/>
        <v>0</v>
      </c>
      <c r="H46" s="28">
        <f t="shared" si="48"/>
        <v>0</v>
      </c>
      <c r="I46" s="28">
        <f t="shared" ref="I46" si="49">I13/I4</f>
        <v>0</v>
      </c>
      <c r="J46" s="28">
        <f t="shared" si="48"/>
        <v>0</v>
      </c>
      <c r="K46" s="28">
        <f t="shared" si="48"/>
        <v>0</v>
      </c>
      <c r="L46" s="28">
        <f t="shared" si="48"/>
        <v>0</v>
      </c>
      <c r="M46" s="28">
        <f t="shared" si="48"/>
        <v>0</v>
      </c>
      <c r="N46" s="28">
        <f t="shared" si="48"/>
        <v>0</v>
      </c>
      <c r="O46" s="28">
        <f t="shared" si="48"/>
        <v>0</v>
      </c>
      <c r="P46" s="28">
        <f t="shared" si="48"/>
        <v>0</v>
      </c>
      <c r="Q46" s="28">
        <f>Q13/Q4</f>
        <v>1.7333333333333333E-3</v>
      </c>
      <c r="R46" s="28">
        <f t="shared" si="48"/>
        <v>0</v>
      </c>
      <c r="S46" s="28">
        <f t="shared" si="48"/>
        <v>0</v>
      </c>
      <c r="T46" s="28">
        <f t="shared" si="48"/>
        <v>0</v>
      </c>
      <c r="U46" s="28">
        <f t="shared" si="48"/>
        <v>0</v>
      </c>
      <c r="V46" s="28">
        <f t="shared" si="48"/>
        <v>0</v>
      </c>
      <c r="W46" s="28">
        <f t="shared" si="48"/>
        <v>0</v>
      </c>
      <c r="X46" s="28">
        <f t="shared" si="48"/>
        <v>0</v>
      </c>
      <c r="Y46" s="28">
        <f t="shared" si="48"/>
        <v>0</v>
      </c>
      <c r="Z46" s="28">
        <f t="shared" si="48"/>
        <v>0</v>
      </c>
      <c r="AA46" s="28">
        <f t="shared" si="48"/>
        <v>0</v>
      </c>
      <c r="AB46" s="28">
        <f t="shared" si="48"/>
        <v>0</v>
      </c>
      <c r="AC46" s="1"/>
    </row>
  </sheetData>
  <mergeCells count="3">
    <mergeCell ref="A6:A13"/>
    <mergeCell ref="A14:A23"/>
    <mergeCell ref="Y2:AB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7C13D-36C9-42CA-91E0-BF3AE65C2193}">
  <sheetPr codeName="Planilha18"/>
  <dimension ref="A3:X46"/>
  <sheetViews>
    <sheetView workbookViewId="0">
      <pane xSplit="3" ySplit="3" topLeftCell="I4" activePane="bottomRight" state="frozen"/>
      <selection activeCell="C22" sqref="C22"/>
      <selection pane="topRight" activeCell="C22" sqref="C22"/>
      <selection pane="bottomLeft" activeCell="C22" sqref="C22"/>
      <selection pane="bottomRight" activeCell="U32" sqref="U32:X35"/>
    </sheetView>
  </sheetViews>
  <sheetFormatPr defaultRowHeight="14.4" x14ac:dyDescent="0.3"/>
  <cols>
    <col min="1" max="1" width="10" bestFit="1" customWidth="1"/>
    <col min="2" max="2" width="4" bestFit="1" customWidth="1"/>
    <col min="3" max="3" width="20.88671875" bestFit="1" customWidth="1"/>
    <col min="4" max="20" width="8.33203125" customWidth="1"/>
  </cols>
  <sheetData>
    <row r="3" spans="1:24" s="10" customFormat="1" x14ac:dyDescent="0.3">
      <c r="A3" s="9" t="s">
        <v>25</v>
      </c>
      <c r="B3" s="8" t="s">
        <v>23</v>
      </c>
      <c r="C3" s="9" t="s">
        <v>24</v>
      </c>
      <c r="D3" s="8">
        <v>5</v>
      </c>
      <c r="E3" s="8">
        <v>6</v>
      </c>
      <c r="F3" s="8">
        <v>7</v>
      </c>
      <c r="G3" s="8">
        <v>8</v>
      </c>
      <c r="H3" s="8">
        <v>9</v>
      </c>
      <c r="I3" s="8">
        <v>10</v>
      </c>
      <c r="J3" s="8">
        <v>11</v>
      </c>
      <c r="K3" s="8">
        <v>12</v>
      </c>
      <c r="L3" s="8">
        <v>13</v>
      </c>
      <c r="M3" s="8">
        <v>14</v>
      </c>
      <c r="N3" s="8">
        <v>15</v>
      </c>
      <c r="O3" s="8">
        <v>16</v>
      </c>
      <c r="P3" s="8">
        <v>17</v>
      </c>
      <c r="Q3" s="8">
        <v>18</v>
      </c>
      <c r="R3" s="8">
        <v>19</v>
      </c>
      <c r="S3" s="8">
        <v>20</v>
      </c>
      <c r="T3" s="8" t="s">
        <v>3</v>
      </c>
      <c r="U3" s="8" t="s">
        <v>94</v>
      </c>
      <c r="V3" s="8" t="s">
        <v>116</v>
      </c>
      <c r="W3" s="8" t="s">
        <v>117</v>
      </c>
      <c r="X3" s="8" t="s">
        <v>118</v>
      </c>
    </row>
    <row r="4" spans="1:24" x14ac:dyDescent="0.3">
      <c r="A4" s="4" t="s">
        <v>5</v>
      </c>
      <c r="B4" s="11">
        <v>1</v>
      </c>
      <c r="C4" s="6" t="s">
        <v>4</v>
      </c>
      <c r="D4" s="19">
        <v>5.91</v>
      </c>
      <c r="E4" s="19">
        <v>6.94</v>
      </c>
      <c r="F4" s="19">
        <v>18.39</v>
      </c>
      <c r="G4" s="19">
        <v>7.18</v>
      </c>
      <c r="H4" s="19">
        <v>12.08</v>
      </c>
      <c r="I4" s="19">
        <v>14.34</v>
      </c>
      <c r="J4" s="19">
        <v>11.38</v>
      </c>
      <c r="K4" s="19">
        <v>11.76</v>
      </c>
      <c r="L4" s="19">
        <v>11.92</v>
      </c>
      <c r="M4" s="19">
        <v>8.43</v>
      </c>
      <c r="N4" s="19">
        <v>10.72</v>
      </c>
      <c r="O4" s="19">
        <v>14.19</v>
      </c>
      <c r="P4" s="19">
        <v>15.324999999999999</v>
      </c>
      <c r="Q4" s="19">
        <v>13.795</v>
      </c>
      <c r="R4" s="19">
        <v>14.9</v>
      </c>
      <c r="S4" s="19">
        <v>8.7539999999999996</v>
      </c>
      <c r="T4" s="19">
        <v>8.52</v>
      </c>
      <c r="U4" s="19">
        <v>10.050000000000001</v>
      </c>
      <c r="V4" s="19">
        <v>10.050000000000001</v>
      </c>
      <c r="W4" s="19">
        <v>10.050000000000001</v>
      </c>
      <c r="X4" s="19">
        <v>10.050000000000001</v>
      </c>
    </row>
    <row r="5" spans="1:24" x14ac:dyDescent="0.3">
      <c r="A5" s="5" t="s">
        <v>8</v>
      </c>
      <c r="B5" s="12">
        <v>3</v>
      </c>
      <c r="C5" s="1" t="s">
        <v>86</v>
      </c>
      <c r="D5" s="3">
        <v>833.33</v>
      </c>
      <c r="E5" s="3">
        <v>835.71</v>
      </c>
      <c r="F5" s="3">
        <v>827.9</v>
      </c>
      <c r="G5" s="3">
        <v>829.25</v>
      </c>
      <c r="H5" s="3">
        <v>826.84</v>
      </c>
      <c r="I5" s="3">
        <v>832.78300000000002</v>
      </c>
      <c r="J5" s="3">
        <v>832.08</v>
      </c>
      <c r="K5" s="3">
        <v>837.31700000000001</v>
      </c>
      <c r="L5" s="3">
        <v>820.26520000000005</v>
      </c>
      <c r="M5" s="3">
        <v>825.68570999999997</v>
      </c>
      <c r="N5" s="3">
        <v>817.1</v>
      </c>
      <c r="O5" s="3">
        <v>829.25</v>
      </c>
      <c r="P5" s="3">
        <v>829.25</v>
      </c>
      <c r="Q5" s="3">
        <v>829.25</v>
      </c>
      <c r="R5" s="3">
        <v>829.25</v>
      </c>
      <c r="S5" s="3">
        <v>829.25</v>
      </c>
      <c r="T5" s="3">
        <v>829.06</v>
      </c>
      <c r="U5" s="3">
        <v>829.08</v>
      </c>
      <c r="V5" s="62">
        <v>829.08</v>
      </c>
      <c r="W5" s="1">
        <v>829</v>
      </c>
      <c r="X5" s="1">
        <v>829</v>
      </c>
    </row>
    <row r="6" spans="1:24" x14ac:dyDescent="0.3">
      <c r="A6" s="101" t="s">
        <v>7</v>
      </c>
      <c r="B6" s="13">
        <v>4</v>
      </c>
      <c r="C6" s="6" t="s">
        <v>104</v>
      </c>
      <c r="D6" s="7">
        <v>10985.392</v>
      </c>
      <c r="E6" s="7">
        <v>12576.628000000001</v>
      </c>
      <c r="F6" s="7">
        <v>12661.183999999999</v>
      </c>
      <c r="G6" s="7">
        <v>15187.892</v>
      </c>
      <c r="H6" s="7">
        <v>12149.168</v>
      </c>
      <c r="I6" s="7">
        <v>14265.101000000001</v>
      </c>
      <c r="J6" s="7">
        <v>16987.276999999998</v>
      </c>
      <c r="K6" s="7">
        <v>18644.072</v>
      </c>
      <c r="L6" s="7">
        <v>19764.366000000002</v>
      </c>
      <c r="M6" s="7">
        <v>18126.471000000001</v>
      </c>
      <c r="N6" s="7">
        <v>15616.682000000001</v>
      </c>
      <c r="O6" s="7">
        <v>13241</v>
      </c>
      <c r="P6" s="7">
        <v>15308</v>
      </c>
      <c r="Q6" s="7">
        <v>17322</v>
      </c>
      <c r="R6" s="7">
        <v>16938</v>
      </c>
      <c r="S6" s="7">
        <v>10771</v>
      </c>
      <c r="T6" s="67">
        <v>15951</v>
      </c>
      <c r="U6" s="67">
        <v>18502</v>
      </c>
      <c r="V6" s="67">
        <v>18309</v>
      </c>
      <c r="W6" s="3">
        <v>18101</v>
      </c>
      <c r="X6" s="3">
        <v>14994</v>
      </c>
    </row>
    <row r="7" spans="1:24" x14ac:dyDescent="0.3">
      <c r="A7" s="101"/>
      <c r="B7" s="13">
        <v>5</v>
      </c>
      <c r="C7" s="1" t="s">
        <v>9</v>
      </c>
      <c r="D7" s="3">
        <v>1169.5450000000001</v>
      </c>
      <c r="E7" s="3">
        <v>1205.8530000000001</v>
      </c>
      <c r="F7" s="3">
        <v>1192.441</v>
      </c>
      <c r="G7" s="3">
        <v>407</v>
      </c>
      <c r="H7" s="3">
        <v>766.25099999999998</v>
      </c>
      <c r="I7" s="3">
        <v>980.30200000000002</v>
      </c>
      <c r="J7" s="3">
        <v>1045.6379999999999</v>
      </c>
      <c r="K7" s="3">
        <v>985.01300000000003</v>
      </c>
      <c r="L7" s="3">
        <v>986.51499999999999</v>
      </c>
      <c r="M7" s="3">
        <v>793.827</v>
      </c>
      <c r="N7" s="3">
        <v>1169</v>
      </c>
      <c r="O7" s="3">
        <v>1411</v>
      </c>
      <c r="P7" s="3">
        <v>1869</v>
      </c>
      <c r="Q7" s="3">
        <v>2218</v>
      </c>
      <c r="R7" s="3">
        <v>2381</v>
      </c>
      <c r="S7" s="3">
        <v>1570</v>
      </c>
      <c r="T7" s="66">
        <v>2305</v>
      </c>
      <c r="U7" s="66">
        <v>2760</v>
      </c>
      <c r="V7" s="66">
        <v>2798</v>
      </c>
      <c r="W7" s="3">
        <v>2783</v>
      </c>
      <c r="X7" s="3">
        <v>3303</v>
      </c>
    </row>
    <row r="8" spans="1:24" x14ac:dyDescent="0.3">
      <c r="A8" s="101"/>
      <c r="B8" s="13">
        <v>6</v>
      </c>
      <c r="C8" s="6" t="s">
        <v>10</v>
      </c>
      <c r="D8" s="3">
        <v>862.74900000000002</v>
      </c>
      <c r="E8" s="3">
        <v>949.21400000000006</v>
      </c>
      <c r="F8" s="7">
        <v>935.59100000000001</v>
      </c>
      <c r="G8" s="7">
        <v>167.32499999999999</v>
      </c>
      <c r="H8" s="7">
        <v>458.77600000000001</v>
      </c>
      <c r="I8" s="7">
        <v>649.09799999999996</v>
      </c>
      <c r="J8" s="7">
        <v>641.67999999999995</v>
      </c>
      <c r="K8" s="7">
        <v>558.54399999999998</v>
      </c>
      <c r="L8" s="7">
        <v>401.25299999999999</v>
      </c>
      <c r="M8" s="7">
        <v>180.22900000000001</v>
      </c>
      <c r="N8" s="7">
        <v>449.36700000000002</v>
      </c>
      <c r="O8" s="7">
        <v>772</v>
      </c>
      <c r="P8" s="7">
        <v>1063</v>
      </c>
      <c r="Q8" s="7">
        <v>1518</v>
      </c>
      <c r="R8" s="7">
        <v>1387</v>
      </c>
      <c r="S8" s="7">
        <v>427</v>
      </c>
      <c r="T8" s="67">
        <v>1398</v>
      </c>
      <c r="U8" s="67">
        <v>1776</v>
      </c>
      <c r="V8" s="66">
        <v>1803</v>
      </c>
      <c r="W8" s="3">
        <v>1778</v>
      </c>
      <c r="X8" s="3">
        <v>2326</v>
      </c>
    </row>
    <row r="9" spans="1:24" x14ac:dyDescent="0.3">
      <c r="A9" s="101"/>
      <c r="B9" s="13">
        <v>11</v>
      </c>
      <c r="C9" s="1" t="s">
        <v>11</v>
      </c>
      <c r="D9" s="3">
        <v>30.643000000000001</v>
      </c>
      <c r="E9" s="3">
        <v>-10.551</v>
      </c>
      <c r="F9" s="3">
        <v>38.348999999999997</v>
      </c>
      <c r="G9" s="3">
        <v>-12.614000000000001</v>
      </c>
      <c r="H9" s="3">
        <f>-(H8-H10)</f>
        <v>-7.3830000000000382</v>
      </c>
      <c r="I9" s="3">
        <v>-24.427999999999997</v>
      </c>
      <c r="J9" s="3">
        <v>-50.481999999999971</v>
      </c>
      <c r="K9" s="3">
        <f>K10-K8</f>
        <v>2.3110000000000355</v>
      </c>
      <c r="L9" s="3">
        <f>L10-L8</f>
        <v>-26.416999999999973</v>
      </c>
      <c r="M9" s="3">
        <f t="shared" ref="M9:N9" si="0">M10-M8</f>
        <v>-114.23400000000001</v>
      </c>
      <c r="N9" s="3">
        <f t="shared" si="0"/>
        <v>-75.977000000000032</v>
      </c>
      <c r="O9" s="3">
        <v>-25</v>
      </c>
      <c r="P9" s="3">
        <v>-28</v>
      </c>
      <c r="Q9" s="3">
        <v>-34</v>
      </c>
      <c r="R9" s="3">
        <v>-131</v>
      </c>
      <c r="S9" s="3">
        <v>-114</v>
      </c>
      <c r="T9" s="66">
        <v>-106.78</v>
      </c>
      <c r="U9" s="66">
        <v>-101.61</v>
      </c>
      <c r="V9" s="81">
        <v>-93.02</v>
      </c>
      <c r="W9" s="1">
        <v>-95.4</v>
      </c>
      <c r="X9" s="1">
        <v>-92.25</v>
      </c>
    </row>
    <row r="10" spans="1:24" x14ac:dyDescent="0.3">
      <c r="A10" s="101"/>
      <c r="B10" s="13">
        <v>12</v>
      </c>
      <c r="C10" s="6" t="s">
        <v>12</v>
      </c>
      <c r="D10" s="7">
        <v>893.39200000000005</v>
      </c>
      <c r="E10" s="7">
        <v>938.66300000000001</v>
      </c>
      <c r="F10" s="7">
        <v>973.94</v>
      </c>
      <c r="G10" s="7">
        <v>154.71100000000001</v>
      </c>
      <c r="H10" s="7">
        <v>451.39299999999997</v>
      </c>
      <c r="I10" s="7">
        <v>624.66999999999996</v>
      </c>
      <c r="J10" s="7">
        <v>591.19799999999998</v>
      </c>
      <c r="K10" s="7">
        <v>560.85500000000002</v>
      </c>
      <c r="L10" s="7">
        <v>374.83600000000001</v>
      </c>
      <c r="M10" s="7">
        <v>65.995000000000005</v>
      </c>
      <c r="N10" s="7">
        <v>373.39</v>
      </c>
      <c r="O10" s="7">
        <v>677</v>
      </c>
      <c r="P10" s="7">
        <v>1358</v>
      </c>
      <c r="Q10" s="7">
        <v>1585</v>
      </c>
      <c r="R10" s="7">
        <v>1468</v>
      </c>
      <c r="S10" s="7">
        <v>345</v>
      </c>
      <c r="T10" s="67">
        <v>1354</v>
      </c>
      <c r="U10" s="67">
        <v>1725</v>
      </c>
      <c r="V10" s="66">
        <v>1669</v>
      </c>
      <c r="W10" s="3">
        <v>1682</v>
      </c>
      <c r="X10" s="3">
        <v>1999</v>
      </c>
    </row>
    <row r="11" spans="1:24" x14ac:dyDescent="0.3">
      <c r="A11" s="101"/>
      <c r="B11" s="13">
        <v>13</v>
      </c>
      <c r="C11" s="1" t="s">
        <v>13</v>
      </c>
      <c r="D11" s="3">
        <v>188.83600000000001</v>
      </c>
      <c r="E11" s="3">
        <v>180.02099999999999</v>
      </c>
      <c r="F11" s="3">
        <v>249.1</v>
      </c>
      <c r="G11" s="3">
        <v>32.899000000000001</v>
      </c>
      <c r="H11" s="3">
        <v>98.596999999999994</v>
      </c>
      <c r="I11" s="3">
        <v>166.43700000000001</v>
      </c>
      <c r="J11" s="3">
        <v>149.09200000000001</v>
      </c>
      <c r="K11" s="3">
        <v>170.58500000000001</v>
      </c>
      <c r="L11" s="3">
        <v>135.82900000000001</v>
      </c>
      <c r="M11" s="3">
        <v>184.52600000000001</v>
      </c>
      <c r="N11" s="3">
        <v>219.172</v>
      </c>
      <c r="O11" s="3">
        <v>289</v>
      </c>
      <c r="P11" s="3">
        <v>503</v>
      </c>
      <c r="Q11" s="3">
        <v>736</v>
      </c>
      <c r="R11" s="3">
        <v>742</v>
      </c>
      <c r="S11" s="3">
        <v>287</v>
      </c>
      <c r="T11" s="66">
        <v>725.86</v>
      </c>
      <c r="U11" s="66">
        <v>853.49</v>
      </c>
      <c r="V11" s="66">
        <v>861.53</v>
      </c>
      <c r="W11" s="3">
        <v>925</v>
      </c>
      <c r="X11" s="3">
        <v>1186</v>
      </c>
    </row>
    <row r="12" spans="1:24" x14ac:dyDescent="0.3">
      <c r="A12" s="101"/>
      <c r="B12" s="13">
        <v>14</v>
      </c>
      <c r="C12" s="6" t="s">
        <v>105</v>
      </c>
      <c r="D12" s="7">
        <v>700.65700000000004</v>
      </c>
      <c r="E12" s="7">
        <v>754.774</v>
      </c>
      <c r="F12" s="7">
        <v>720.27200000000005</v>
      </c>
      <c r="G12" s="7">
        <v>116.971</v>
      </c>
      <c r="H12" s="7">
        <v>347.27199999999999</v>
      </c>
      <c r="I12" s="7">
        <v>451.81</v>
      </c>
      <c r="J12" s="7">
        <v>432.68200000000002</v>
      </c>
      <c r="K12" s="7">
        <v>343.3</v>
      </c>
      <c r="L12" s="7">
        <v>188.661</v>
      </c>
      <c r="M12" s="7">
        <v>-173.39400000000001</v>
      </c>
      <c r="N12" s="7">
        <v>122.566</v>
      </c>
      <c r="O12" s="7">
        <v>483</v>
      </c>
      <c r="P12" s="7">
        <v>602</v>
      </c>
      <c r="Q12" s="7">
        <v>707</v>
      </c>
      <c r="R12" s="7">
        <v>560</v>
      </c>
      <c r="S12" s="7">
        <v>-42</v>
      </c>
      <c r="T12" s="67">
        <v>462.37</v>
      </c>
      <c r="U12" s="67">
        <v>681.46</v>
      </c>
      <c r="V12" s="66">
        <v>708.37</v>
      </c>
      <c r="W12" s="3">
        <v>769.43</v>
      </c>
      <c r="X12" s="3">
        <v>953.13</v>
      </c>
    </row>
    <row r="13" spans="1:24" x14ac:dyDescent="0.3">
      <c r="A13" s="101"/>
      <c r="B13" s="13">
        <v>2</v>
      </c>
      <c r="C13" s="1" t="s">
        <v>15</v>
      </c>
      <c r="D13" s="22">
        <v>0.26</v>
      </c>
      <c r="E13" s="22">
        <v>1.31</v>
      </c>
      <c r="F13" s="22">
        <v>0.46</v>
      </c>
      <c r="G13" s="22">
        <v>0.32</v>
      </c>
      <c r="H13" s="22">
        <v>0.23</v>
      </c>
      <c r="I13" s="22">
        <v>0.2</v>
      </c>
      <c r="J13" s="22">
        <v>0.2</v>
      </c>
      <c r="K13" s="22">
        <v>0.32</v>
      </c>
      <c r="L13" s="22">
        <v>0.27</v>
      </c>
      <c r="M13" s="22">
        <v>0.33</v>
      </c>
      <c r="N13" s="22">
        <v>0.39</v>
      </c>
      <c r="O13" s="22">
        <v>0.5</v>
      </c>
      <c r="P13" s="22">
        <v>0.4</v>
      </c>
      <c r="Q13" s="22">
        <v>0.63</v>
      </c>
      <c r="R13" s="22">
        <v>0.67</v>
      </c>
      <c r="S13" s="22">
        <v>0.35</v>
      </c>
      <c r="T13" s="68">
        <v>0.57999999999999996</v>
      </c>
      <c r="U13" s="68">
        <v>0.64</v>
      </c>
      <c r="V13" s="81">
        <v>0.73</v>
      </c>
      <c r="W13" s="1">
        <v>0.76</v>
      </c>
      <c r="X13" s="1">
        <v>0.86</v>
      </c>
    </row>
    <row r="14" spans="1:24" x14ac:dyDescent="0.3">
      <c r="A14" s="102" t="s">
        <v>14</v>
      </c>
      <c r="B14" s="14">
        <v>8</v>
      </c>
      <c r="C14" s="6" t="s">
        <v>16</v>
      </c>
      <c r="D14" s="7">
        <v>157.63499999999999</v>
      </c>
      <c r="E14" s="7">
        <v>212.46799999999999</v>
      </c>
      <c r="F14" s="7">
        <v>107.176</v>
      </c>
      <c r="G14" s="7">
        <v>127.16800000000001</v>
      </c>
      <c r="H14" s="7">
        <v>243.839</v>
      </c>
      <c r="I14" s="7">
        <v>188.03299999999999</v>
      </c>
      <c r="J14" s="7">
        <v>298.42599999999999</v>
      </c>
      <c r="K14" s="7">
        <v>1886.723</v>
      </c>
      <c r="L14" s="7">
        <v>1503.39</v>
      </c>
      <c r="M14" s="7">
        <v>1023.396</v>
      </c>
      <c r="N14" s="7">
        <v>1131</v>
      </c>
      <c r="O14" s="7">
        <v>1033</v>
      </c>
      <c r="P14" s="7">
        <v>1221</v>
      </c>
      <c r="Q14" s="7">
        <v>1508</v>
      </c>
      <c r="R14" s="7">
        <v>1503</v>
      </c>
      <c r="S14" s="7">
        <v>1719</v>
      </c>
      <c r="T14" s="7">
        <v>1255</v>
      </c>
      <c r="U14" s="7"/>
      <c r="V14" s="1"/>
      <c r="W14" s="1"/>
      <c r="X14" s="1"/>
    </row>
    <row r="15" spans="1:24" x14ac:dyDescent="0.3">
      <c r="A15" s="103"/>
      <c r="B15" s="14">
        <v>7</v>
      </c>
      <c r="C15" s="1" t="s">
        <v>17</v>
      </c>
      <c r="D15" s="3">
        <v>1349</v>
      </c>
      <c r="E15" s="3">
        <v>1099</v>
      </c>
      <c r="F15" s="3">
        <v>791.25099999999998</v>
      </c>
      <c r="G15" s="3">
        <v>1990.7380000000001</v>
      </c>
      <c r="H15" s="3">
        <v>2170.7559999999999</v>
      </c>
      <c r="I15" s="3">
        <v>3028.4859999999999</v>
      </c>
      <c r="J15" s="3">
        <v>3802.56</v>
      </c>
      <c r="K15" s="3">
        <v>3582.9</v>
      </c>
      <c r="L15" s="3">
        <v>3677</v>
      </c>
      <c r="M15" s="3">
        <v>3664.364</v>
      </c>
      <c r="N15" s="3">
        <v>3552.0720000000001</v>
      </c>
      <c r="O15" s="3">
        <v>2903</v>
      </c>
      <c r="P15" s="3">
        <v>3083</v>
      </c>
      <c r="Q15" s="3">
        <v>3245</v>
      </c>
      <c r="R15" s="3">
        <v>4118</v>
      </c>
      <c r="S15" s="3">
        <v>4832</v>
      </c>
      <c r="T15" s="3">
        <v>4451</v>
      </c>
      <c r="U15" s="3"/>
      <c r="V15" s="1"/>
      <c r="W15" s="1"/>
      <c r="X15" s="1"/>
    </row>
    <row r="16" spans="1:24" x14ac:dyDescent="0.3">
      <c r="A16" s="103"/>
      <c r="B16" s="14">
        <v>9</v>
      </c>
      <c r="C16" s="6" t="s">
        <v>92</v>
      </c>
      <c r="D16" s="7">
        <v>24.645</v>
      </c>
      <c r="E16" s="7">
        <v>18.536999999999999</v>
      </c>
      <c r="F16" s="7">
        <v>21.988</v>
      </c>
      <c r="G16" s="7">
        <v>24.975000000000001</v>
      </c>
      <c r="H16" s="7">
        <v>27.184000000000001</v>
      </c>
      <c r="I16" s="7">
        <v>32.201000000000001</v>
      </c>
      <c r="J16" s="7">
        <v>55.972000000000001</v>
      </c>
      <c r="K16" s="7">
        <v>1304.8</v>
      </c>
      <c r="L16" s="7">
        <v>1254.894</v>
      </c>
      <c r="M16" s="7">
        <v>1420.184</v>
      </c>
      <c r="N16" s="7">
        <v>1416.046</v>
      </c>
      <c r="O16" s="7">
        <v>1563</v>
      </c>
      <c r="P16" s="7">
        <v>1435</v>
      </c>
      <c r="Q16" s="7">
        <v>1460</v>
      </c>
      <c r="R16" s="7">
        <v>1237</v>
      </c>
      <c r="S16" s="7">
        <v>940</v>
      </c>
      <c r="T16" s="7">
        <v>958</v>
      </c>
      <c r="U16" s="7"/>
      <c r="V16" s="1"/>
      <c r="W16" s="1"/>
      <c r="X16" s="1"/>
    </row>
    <row r="17" spans="1:24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/>
      <c r="V17" s="1"/>
      <c r="W17" s="1"/>
      <c r="X17" s="1"/>
    </row>
    <row r="18" spans="1:24" x14ac:dyDescent="0.3">
      <c r="A18" s="103"/>
      <c r="B18" s="14">
        <v>15</v>
      </c>
      <c r="C18" s="6" t="s">
        <v>19</v>
      </c>
      <c r="D18" s="7">
        <v>3548.4209999999998</v>
      </c>
      <c r="E18" s="7">
        <v>3205.136</v>
      </c>
      <c r="F18" s="7">
        <v>3304.4549999999999</v>
      </c>
      <c r="G18" s="7">
        <v>4404.1809999999996</v>
      </c>
      <c r="H18" s="7">
        <v>5123.9650000000001</v>
      </c>
      <c r="I18" s="7">
        <v>6451.0590000000002</v>
      </c>
      <c r="J18" s="7">
        <v>7213.9620000000004</v>
      </c>
      <c r="K18" s="7">
        <v>7202.6</v>
      </c>
      <c r="L18" s="7">
        <v>7301.5240000000003</v>
      </c>
      <c r="M18" s="7">
        <v>6790.6959999999999</v>
      </c>
      <c r="N18" s="7">
        <v>8021</v>
      </c>
      <c r="O18" s="7">
        <v>7459</v>
      </c>
      <c r="P18" s="7">
        <v>7707</v>
      </c>
      <c r="Q18" s="7">
        <v>8100</v>
      </c>
      <c r="R18" s="7">
        <v>9350</v>
      </c>
      <c r="S18" s="7">
        <v>9332</v>
      </c>
      <c r="T18" s="7">
        <v>10709</v>
      </c>
      <c r="U18" s="7"/>
      <c r="V18" s="1"/>
      <c r="W18" s="1"/>
      <c r="X18" s="1"/>
    </row>
    <row r="19" spans="1:24" x14ac:dyDescent="0.3">
      <c r="A19" s="103"/>
      <c r="B19" s="14">
        <v>18</v>
      </c>
      <c r="C19" s="1" t="s">
        <v>21</v>
      </c>
      <c r="D19" s="3">
        <v>1935.546</v>
      </c>
      <c r="E19" s="3">
        <v>2203.6750000000002</v>
      </c>
      <c r="F19" s="3">
        <v>2272.386</v>
      </c>
      <c r="G19" s="3">
        <v>2667.3240000000001</v>
      </c>
      <c r="H19" s="3">
        <v>2516.4690000000001</v>
      </c>
      <c r="I19" s="3">
        <v>3193.0790000000002</v>
      </c>
      <c r="J19" s="3">
        <v>4017.2150000000001</v>
      </c>
      <c r="K19" s="3">
        <v>3588.4209999999998</v>
      </c>
      <c r="L19" s="3">
        <v>2830.1390000000001</v>
      </c>
      <c r="M19" s="3">
        <v>2156.58</v>
      </c>
      <c r="N19" s="3">
        <v>2031.9110000000001</v>
      </c>
      <c r="O19" s="3">
        <v>2157</v>
      </c>
      <c r="P19" s="3">
        <v>2430</v>
      </c>
      <c r="Q19" s="3">
        <v>2634</v>
      </c>
      <c r="R19" s="3">
        <v>2879</v>
      </c>
      <c r="S19" s="3">
        <v>2248</v>
      </c>
      <c r="T19" s="3">
        <v>3111</v>
      </c>
      <c r="U19" s="3"/>
      <c r="V19" s="1"/>
      <c r="W19" s="1"/>
      <c r="X19" s="1"/>
    </row>
    <row r="20" spans="1:24" x14ac:dyDescent="0.3">
      <c r="A20" s="103"/>
      <c r="B20" s="14">
        <v>17</v>
      </c>
      <c r="C20" s="6" t="s">
        <v>22</v>
      </c>
      <c r="D20" s="7">
        <v>2588.0630000000001</v>
      </c>
      <c r="E20" s="7">
        <v>2570.7359999999999</v>
      </c>
      <c r="F20" s="7">
        <v>2867.6379999999999</v>
      </c>
      <c r="G20" s="7">
        <v>2694.7440000000001</v>
      </c>
      <c r="H20" s="7">
        <v>2826.3609999999999</v>
      </c>
      <c r="I20" s="7">
        <v>3407.471</v>
      </c>
      <c r="J20" s="7">
        <v>3783.1610000000001</v>
      </c>
      <c r="K20" s="7">
        <v>5976.29</v>
      </c>
      <c r="L20" s="7">
        <v>5615.6819999999998</v>
      </c>
      <c r="M20" s="7">
        <v>4935.2370000000001</v>
      </c>
      <c r="N20" s="7">
        <v>4112.3580000000002</v>
      </c>
      <c r="O20" s="7">
        <v>4132</v>
      </c>
      <c r="P20" s="7">
        <v>4245</v>
      </c>
      <c r="Q20" s="7">
        <v>4726</v>
      </c>
      <c r="R20" s="7">
        <v>4603</v>
      </c>
      <c r="S20" s="7">
        <v>4335</v>
      </c>
      <c r="T20" s="7">
        <v>4693</v>
      </c>
      <c r="U20" s="7"/>
      <c r="V20" s="1"/>
      <c r="W20" s="1"/>
      <c r="X20" s="1"/>
    </row>
    <row r="21" spans="1:24" x14ac:dyDescent="0.3">
      <c r="A21" s="103"/>
      <c r="B21" s="14">
        <v>19</v>
      </c>
      <c r="C21" s="1" t="s">
        <v>88</v>
      </c>
      <c r="D21" s="3">
        <v>1199.357</v>
      </c>
      <c r="E21" s="3">
        <v>1065.2639999999999</v>
      </c>
      <c r="F21" s="3">
        <v>1346.816</v>
      </c>
      <c r="G21" s="3">
        <v>1076.4939999999999</v>
      </c>
      <c r="H21" s="3">
        <v>1228.8330000000001</v>
      </c>
      <c r="I21" s="3">
        <v>1570.1310000000001</v>
      </c>
      <c r="J21" s="3">
        <v>1874.807</v>
      </c>
      <c r="K21" s="3">
        <v>1976.125</v>
      </c>
      <c r="L21" s="3">
        <v>1845.607</v>
      </c>
      <c r="M21" s="3">
        <v>1210.374</v>
      </c>
      <c r="N21" s="3">
        <v>872.51800000000003</v>
      </c>
      <c r="O21" s="3">
        <v>869</v>
      </c>
      <c r="P21" s="3">
        <v>970</v>
      </c>
      <c r="Q21" s="3">
        <v>1171</v>
      </c>
      <c r="R21" s="3">
        <v>1055</v>
      </c>
      <c r="S21" s="3">
        <v>708</v>
      </c>
      <c r="T21" s="3">
        <v>914</v>
      </c>
      <c r="U21" s="3"/>
      <c r="V21" s="1"/>
      <c r="W21" s="1"/>
      <c r="X21" s="1"/>
    </row>
    <row r="22" spans="1:24" x14ac:dyDescent="0.3">
      <c r="A22" s="103"/>
      <c r="B22" s="14">
        <v>20</v>
      </c>
      <c r="C22" s="6" t="s">
        <v>87</v>
      </c>
      <c r="D22" s="7">
        <v>898.36300000000006</v>
      </c>
      <c r="E22" s="7">
        <v>960.279</v>
      </c>
      <c r="F22" s="7">
        <v>1077.059</v>
      </c>
      <c r="G22" s="7">
        <v>987.70399999999995</v>
      </c>
      <c r="H22" s="7">
        <v>778.38400000000001</v>
      </c>
      <c r="I22" s="7">
        <v>1082.0630000000001</v>
      </c>
      <c r="J22" s="7">
        <v>1066.32</v>
      </c>
      <c r="K22" s="7">
        <v>1351.1890000000001</v>
      </c>
      <c r="L22" s="7">
        <v>1326.5630000000001</v>
      </c>
      <c r="M22" s="7">
        <v>1115.287</v>
      </c>
      <c r="N22" s="7">
        <v>1030</v>
      </c>
      <c r="O22" s="7">
        <v>1204</v>
      </c>
      <c r="P22" s="7">
        <v>1553</v>
      </c>
      <c r="Q22" s="7">
        <v>1033</v>
      </c>
      <c r="R22" s="7">
        <v>980</v>
      </c>
      <c r="S22" s="7">
        <v>781</v>
      </c>
      <c r="T22" s="7">
        <v>1058</v>
      </c>
      <c r="U22" s="7"/>
      <c r="V22" s="1"/>
      <c r="W22" s="1"/>
      <c r="X22" s="1"/>
    </row>
    <row r="23" spans="1:24" x14ac:dyDescent="0.3">
      <c r="A23" s="103"/>
      <c r="B23" s="14">
        <v>16</v>
      </c>
      <c r="C23" s="1" t="s">
        <v>20</v>
      </c>
      <c r="D23" s="3">
        <v>2361.2060000000001</v>
      </c>
      <c r="E23" s="3">
        <v>2018.1369999999999</v>
      </c>
      <c r="F23" s="3">
        <v>2347.9720000000002</v>
      </c>
      <c r="G23" s="3">
        <v>2193.8440000000001</v>
      </c>
      <c r="H23" s="3">
        <v>2361.4789999999998</v>
      </c>
      <c r="I23" s="3">
        <v>2678.8679999999999</v>
      </c>
      <c r="J23" s="3">
        <v>2885.4830000000002</v>
      </c>
      <c r="K23" s="3">
        <v>6705.9740000000002</v>
      </c>
      <c r="L23" s="3">
        <v>6415.8</v>
      </c>
      <c r="M23" s="3">
        <v>5004.5370000000003</v>
      </c>
      <c r="N23" s="3">
        <v>4772.0780000000004</v>
      </c>
      <c r="O23" s="3">
        <v>4980</v>
      </c>
      <c r="P23" s="3">
        <v>4344</v>
      </c>
      <c r="Q23" s="3">
        <v>4587</v>
      </c>
      <c r="R23" s="3">
        <v>4420</v>
      </c>
      <c r="S23" s="3">
        <v>3160</v>
      </c>
      <c r="T23" s="3">
        <v>2857</v>
      </c>
      <c r="U23" s="3"/>
      <c r="V23" s="1"/>
      <c r="W23" s="1"/>
      <c r="X23" s="1"/>
    </row>
    <row r="25" spans="1:24" x14ac:dyDescent="0.3">
      <c r="A25" s="9" t="s">
        <v>71</v>
      </c>
      <c r="B25" s="8"/>
      <c r="C25" s="9" t="s">
        <v>26</v>
      </c>
      <c r="D25" s="8">
        <v>5</v>
      </c>
      <c r="E25" s="8">
        <v>6</v>
      </c>
      <c r="F25" s="8">
        <v>7</v>
      </c>
      <c r="G25" s="8">
        <v>8</v>
      </c>
      <c r="H25" s="8">
        <v>9</v>
      </c>
      <c r="I25" s="8">
        <v>10</v>
      </c>
      <c r="J25" s="8">
        <v>11</v>
      </c>
      <c r="K25" s="8">
        <v>12</v>
      </c>
      <c r="L25" s="8">
        <v>13</v>
      </c>
      <c r="M25" s="8">
        <v>14</v>
      </c>
      <c r="N25" s="8">
        <v>15</v>
      </c>
      <c r="O25" s="8">
        <v>16</v>
      </c>
      <c r="P25" s="8">
        <v>17</v>
      </c>
      <c r="Q25" s="8">
        <v>18</v>
      </c>
      <c r="R25" s="8">
        <v>19</v>
      </c>
      <c r="S25" s="8">
        <v>20</v>
      </c>
      <c r="T25" s="8" t="s">
        <v>3</v>
      </c>
      <c r="U25" s="8" t="s">
        <v>94</v>
      </c>
      <c r="V25" s="8" t="s">
        <v>116</v>
      </c>
      <c r="W25" s="8" t="s">
        <v>117</v>
      </c>
      <c r="X25" s="8" t="s">
        <v>118</v>
      </c>
    </row>
    <row r="26" spans="1:24" x14ac:dyDescent="0.3">
      <c r="A26" s="6" t="s">
        <v>65</v>
      </c>
      <c r="B26" s="17" t="s">
        <v>27</v>
      </c>
      <c r="C26" s="6" t="s">
        <v>85</v>
      </c>
      <c r="D26" s="7">
        <f t="shared" ref="D26:Q26" si="1">D4*D5</f>
        <v>4924.9803000000002</v>
      </c>
      <c r="E26" s="7">
        <f t="shared" si="1"/>
        <v>5799.8274000000001</v>
      </c>
      <c r="F26" s="7">
        <f t="shared" si="1"/>
        <v>15225.081</v>
      </c>
      <c r="G26" s="7">
        <f t="shared" si="1"/>
        <v>5954.0149999999994</v>
      </c>
      <c r="H26" s="7">
        <f t="shared" si="1"/>
        <v>9988.2272000000012</v>
      </c>
      <c r="I26" s="7">
        <f t="shared" si="1"/>
        <v>11942.10822</v>
      </c>
      <c r="J26" s="7">
        <f t="shared" si="1"/>
        <v>9469.0704000000005</v>
      </c>
      <c r="K26" s="7">
        <f t="shared" si="1"/>
        <v>9846.8479200000002</v>
      </c>
      <c r="L26" s="7">
        <f t="shared" si="1"/>
        <v>9777.5611840000001</v>
      </c>
      <c r="M26" s="7">
        <f t="shared" si="1"/>
        <v>6960.5305352999994</v>
      </c>
      <c r="N26" s="7">
        <f t="shared" si="1"/>
        <v>8759.3119999999999</v>
      </c>
      <c r="O26" s="7">
        <f t="shared" si="1"/>
        <v>11767.057499999999</v>
      </c>
      <c r="P26" s="7">
        <f t="shared" si="1"/>
        <v>12708.256249999999</v>
      </c>
      <c r="Q26" s="7">
        <f t="shared" si="1"/>
        <v>11439.50375</v>
      </c>
      <c r="R26" s="7">
        <f t="shared" ref="R26:U26" si="2">R4*R5</f>
        <v>12355.825000000001</v>
      </c>
      <c r="S26" s="7">
        <f t="shared" si="2"/>
        <v>7259.2545</v>
      </c>
      <c r="T26" s="7">
        <f t="shared" si="2"/>
        <v>7063.5911999999989</v>
      </c>
      <c r="U26" s="7">
        <f t="shared" si="2"/>
        <v>8332.2540000000008</v>
      </c>
      <c r="V26" s="7">
        <f t="shared" ref="V26:X26" si="3">V4*V5</f>
        <v>8332.2540000000008</v>
      </c>
      <c r="W26" s="7">
        <f t="shared" si="3"/>
        <v>8331.4500000000007</v>
      </c>
      <c r="X26" s="7">
        <f t="shared" si="3"/>
        <v>8331.4500000000007</v>
      </c>
    </row>
    <row r="27" spans="1:24" x14ac:dyDescent="0.3">
      <c r="A27" s="1" t="s">
        <v>66</v>
      </c>
      <c r="B27" s="2" t="s">
        <v>28</v>
      </c>
      <c r="C27" s="1" t="s">
        <v>47</v>
      </c>
      <c r="D27" s="30">
        <f t="shared" ref="D27:Q27" si="4">D26/D6</f>
        <v>0.4483208519095177</v>
      </c>
      <c r="E27" s="30">
        <f t="shared" si="4"/>
        <v>0.46115917557551989</v>
      </c>
      <c r="F27" s="30">
        <f t="shared" si="4"/>
        <v>1.2025005718264581</v>
      </c>
      <c r="G27" s="30">
        <f t="shared" si="4"/>
        <v>0.39202379105671803</v>
      </c>
      <c r="H27" s="30">
        <f t="shared" si="4"/>
        <v>0.82213261023306294</v>
      </c>
      <c r="I27" s="30">
        <f t="shared" si="4"/>
        <v>0.83715553223212369</v>
      </c>
      <c r="J27" s="30">
        <f t="shared" si="4"/>
        <v>0.55742132185164239</v>
      </c>
      <c r="K27" s="30">
        <f t="shared" si="4"/>
        <v>0.52814899663549897</v>
      </c>
      <c r="L27" s="30">
        <f t="shared" si="4"/>
        <v>0.49470654328097341</v>
      </c>
      <c r="M27" s="30">
        <f t="shared" si="4"/>
        <v>0.38399810615646029</v>
      </c>
      <c r="N27" s="30">
        <f t="shared" si="4"/>
        <v>0.56089456134151927</v>
      </c>
      <c r="O27" s="30">
        <f t="shared" si="4"/>
        <v>0.88868344535911181</v>
      </c>
      <c r="P27" s="30">
        <f t="shared" si="4"/>
        <v>0.83017090736869603</v>
      </c>
      <c r="Q27" s="30">
        <f t="shared" si="4"/>
        <v>0.66040317226648193</v>
      </c>
      <c r="R27" s="30">
        <f t="shared" ref="R27:U27" si="5">R26/R6</f>
        <v>0.72947366867398755</v>
      </c>
      <c r="S27" s="30">
        <f t="shared" si="5"/>
        <v>0.67396290966484074</v>
      </c>
      <c r="T27" s="30">
        <f t="shared" si="5"/>
        <v>0.44283061876998303</v>
      </c>
      <c r="U27" s="30">
        <f t="shared" si="5"/>
        <v>0.45034342233272084</v>
      </c>
      <c r="V27" s="30">
        <f t="shared" ref="V27:X27" si="6">V26/V6</f>
        <v>0.45509061117483207</v>
      </c>
      <c r="W27" s="30">
        <f t="shared" si="6"/>
        <v>0.46027567537705105</v>
      </c>
      <c r="X27" s="30">
        <f t="shared" si="6"/>
        <v>0.55565226090436182</v>
      </c>
    </row>
    <row r="28" spans="1:24" x14ac:dyDescent="0.3">
      <c r="A28" s="6" t="s">
        <v>67</v>
      </c>
      <c r="B28" s="17" t="s">
        <v>29</v>
      </c>
      <c r="C28" s="6" t="s">
        <v>48</v>
      </c>
      <c r="D28" s="29">
        <f t="shared" ref="D28:U28" si="7">D26/D7</f>
        <v>4.211022491652737</v>
      </c>
      <c r="E28" s="29">
        <f t="shared" si="7"/>
        <v>4.8097300417215036</v>
      </c>
      <c r="F28" s="29">
        <f t="shared" si="7"/>
        <v>12.767995229952676</v>
      </c>
      <c r="G28" s="29">
        <f t="shared" si="7"/>
        <v>14.629029484029482</v>
      </c>
      <c r="H28" s="29">
        <f t="shared" si="7"/>
        <v>13.035189774629986</v>
      </c>
      <c r="I28" s="29">
        <f t="shared" si="7"/>
        <v>12.182070647616754</v>
      </c>
      <c r="J28" s="29">
        <f t="shared" si="7"/>
        <v>9.0557825939761187</v>
      </c>
      <c r="K28" s="29">
        <f t="shared" si="7"/>
        <v>9.996667983062153</v>
      </c>
      <c r="L28" s="29">
        <f t="shared" si="7"/>
        <v>9.9112139034885427</v>
      </c>
      <c r="M28" s="29">
        <f t="shared" si="7"/>
        <v>8.7683217316871307</v>
      </c>
      <c r="N28" s="29">
        <f t="shared" si="7"/>
        <v>7.4929957228400346</v>
      </c>
      <c r="O28" s="29">
        <f t="shared" si="7"/>
        <v>8.3395163004961006</v>
      </c>
      <c r="P28" s="29">
        <f t="shared" si="7"/>
        <v>6.7994950508293197</v>
      </c>
      <c r="Q28" s="29">
        <f t="shared" si="7"/>
        <v>5.1575760820559058</v>
      </c>
      <c r="R28" s="29">
        <f t="shared" si="7"/>
        <v>5.189342713145737</v>
      </c>
      <c r="S28" s="29">
        <f t="shared" si="7"/>
        <v>4.6237289808917197</v>
      </c>
      <c r="T28" s="29">
        <f t="shared" si="7"/>
        <v>3.0644647288503251</v>
      </c>
      <c r="U28" s="29">
        <f t="shared" si="7"/>
        <v>3.0189326086956525</v>
      </c>
      <c r="V28" s="29">
        <f t="shared" ref="V28:X28" si="8">V26/V7</f>
        <v>2.9779320943531098</v>
      </c>
      <c r="W28" s="29">
        <f t="shared" si="8"/>
        <v>2.9936938555515633</v>
      </c>
      <c r="X28" s="29">
        <f t="shared" si="8"/>
        <v>2.5223887375113536</v>
      </c>
    </row>
    <row r="29" spans="1:24" x14ac:dyDescent="0.3">
      <c r="A29" s="15" t="s">
        <v>68</v>
      </c>
      <c r="B29" s="2" t="s">
        <v>30</v>
      </c>
      <c r="C29" s="1" t="s">
        <v>49</v>
      </c>
      <c r="D29" s="3">
        <f t="shared" ref="D29:T29" si="9">D15-D14</f>
        <v>1191.365</v>
      </c>
      <c r="E29" s="3">
        <f t="shared" si="9"/>
        <v>886.53200000000004</v>
      </c>
      <c r="F29" s="3">
        <f t="shared" si="9"/>
        <v>684.07499999999993</v>
      </c>
      <c r="G29" s="3">
        <f t="shared" si="9"/>
        <v>1863.5700000000002</v>
      </c>
      <c r="H29" s="3">
        <f t="shared" si="9"/>
        <v>1926.9169999999999</v>
      </c>
      <c r="I29" s="3">
        <f t="shared" si="9"/>
        <v>2840.453</v>
      </c>
      <c r="J29" s="3">
        <f t="shared" si="9"/>
        <v>3504.134</v>
      </c>
      <c r="K29" s="3">
        <f t="shared" si="9"/>
        <v>1696.1770000000001</v>
      </c>
      <c r="L29" s="3">
        <f t="shared" si="9"/>
        <v>2173.6099999999997</v>
      </c>
      <c r="M29" s="3">
        <f t="shared" si="9"/>
        <v>2640.9679999999998</v>
      </c>
      <c r="N29" s="3">
        <f t="shared" si="9"/>
        <v>2421.0720000000001</v>
      </c>
      <c r="O29" s="3">
        <f t="shared" si="9"/>
        <v>1870</v>
      </c>
      <c r="P29" s="3">
        <f t="shared" si="9"/>
        <v>1862</v>
      </c>
      <c r="Q29" s="3">
        <f t="shared" si="9"/>
        <v>1737</v>
      </c>
      <c r="R29" s="3">
        <f t="shared" si="9"/>
        <v>2615</v>
      </c>
      <c r="S29" s="3">
        <f t="shared" si="9"/>
        <v>3113</v>
      </c>
      <c r="T29" s="3">
        <f t="shared" si="9"/>
        <v>3196</v>
      </c>
      <c r="U29" s="3">
        <f t="shared" ref="U29" si="10">U15-U14</f>
        <v>0</v>
      </c>
      <c r="V29" s="1"/>
      <c r="W29" s="1"/>
      <c r="X29" s="1"/>
    </row>
    <row r="30" spans="1:24" x14ac:dyDescent="0.3">
      <c r="A30" s="6" t="s">
        <v>69</v>
      </c>
      <c r="B30" s="17" t="s">
        <v>31</v>
      </c>
      <c r="C30" s="6" t="s">
        <v>50</v>
      </c>
      <c r="D30" s="7">
        <f t="shared" ref="D30:S30" si="11">D26+D29+D16+D17</f>
        <v>6140.9903000000004</v>
      </c>
      <c r="E30" s="7">
        <f t="shared" si="11"/>
        <v>6704.8964000000005</v>
      </c>
      <c r="F30" s="7">
        <f t="shared" si="11"/>
        <v>15931.144</v>
      </c>
      <c r="G30" s="7">
        <f t="shared" si="11"/>
        <v>7842.5599999999995</v>
      </c>
      <c r="H30" s="7">
        <f t="shared" si="11"/>
        <v>11942.3282</v>
      </c>
      <c r="I30" s="7">
        <f t="shared" si="11"/>
        <v>14814.762219999999</v>
      </c>
      <c r="J30" s="7">
        <f t="shared" si="11"/>
        <v>13029.1764</v>
      </c>
      <c r="K30" s="7">
        <f t="shared" si="11"/>
        <v>12847.824919999999</v>
      </c>
      <c r="L30" s="7">
        <f t="shared" si="11"/>
        <v>13206.065183999999</v>
      </c>
      <c r="M30" s="7">
        <f t="shared" si="11"/>
        <v>11021.682535299999</v>
      </c>
      <c r="N30" s="7">
        <f t="shared" si="11"/>
        <v>12596.43</v>
      </c>
      <c r="O30" s="7">
        <f t="shared" si="11"/>
        <v>15200.057499999999</v>
      </c>
      <c r="P30" s="7">
        <f t="shared" si="11"/>
        <v>16005.256249999999</v>
      </c>
      <c r="Q30" s="7">
        <f t="shared" si="11"/>
        <v>14636.50375</v>
      </c>
      <c r="R30" s="7">
        <f t="shared" si="11"/>
        <v>16207.825000000001</v>
      </c>
      <c r="S30" s="7">
        <f t="shared" si="11"/>
        <v>11312.254499999999</v>
      </c>
      <c r="T30" s="7">
        <f t="shared" ref="T30" si="12">T26+T29+T16+T17</f>
        <v>11217.591199999999</v>
      </c>
      <c r="U30" s="7"/>
      <c r="V30" s="1"/>
      <c r="W30" s="1"/>
      <c r="X30" s="1"/>
    </row>
    <row r="31" spans="1:24" x14ac:dyDescent="0.3">
      <c r="A31" s="1" t="s">
        <v>70</v>
      </c>
      <c r="B31" s="2" t="s">
        <v>32</v>
      </c>
      <c r="C31" s="1" t="s">
        <v>51</v>
      </c>
      <c r="D31" s="30">
        <f t="shared" ref="D31:S31" si="13">D30/D7</f>
        <v>5.2507516170818569</v>
      </c>
      <c r="E31" s="30">
        <f t="shared" si="13"/>
        <v>5.5602933359207132</v>
      </c>
      <c r="F31" s="30">
        <f t="shared" si="13"/>
        <v>13.360110898568566</v>
      </c>
      <c r="G31" s="30">
        <f t="shared" si="13"/>
        <v>19.269189189189188</v>
      </c>
      <c r="H31" s="30">
        <f t="shared" si="13"/>
        <v>15.5853998232955</v>
      </c>
      <c r="I31" s="30">
        <f t="shared" si="13"/>
        <v>15.112447205044974</v>
      </c>
      <c r="J31" s="30">
        <f t="shared" si="13"/>
        <v>12.460503922007426</v>
      </c>
      <c r="K31" s="30">
        <f t="shared" si="13"/>
        <v>13.043304931000909</v>
      </c>
      <c r="L31" s="30">
        <f t="shared" si="13"/>
        <v>13.386583259250999</v>
      </c>
      <c r="M31" s="30">
        <f t="shared" si="13"/>
        <v>13.884237416086879</v>
      </c>
      <c r="N31" s="30">
        <f t="shared" si="13"/>
        <v>10.775389221556887</v>
      </c>
      <c r="O31" s="30">
        <f t="shared" si="13"/>
        <v>10.772542523033309</v>
      </c>
      <c r="P31" s="30">
        <f t="shared" si="13"/>
        <v>8.5635399946495436</v>
      </c>
      <c r="Q31" s="30">
        <f t="shared" si="13"/>
        <v>6.5989647204688913</v>
      </c>
      <c r="R31" s="30">
        <f t="shared" si="13"/>
        <v>6.8071503569928602</v>
      </c>
      <c r="S31" s="30">
        <f t="shared" si="13"/>
        <v>7.2052576433121009</v>
      </c>
      <c r="T31" s="30">
        <f t="shared" ref="T31" si="14">T30/T7</f>
        <v>4.866633926247288</v>
      </c>
      <c r="U31" s="30">
        <f t="shared" ref="U31" si="15">U30/U7</f>
        <v>0</v>
      </c>
      <c r="V31" s="1"/>
      <c r="W31" s="1"/>
      <c r="X31" s="1"/>
    </row>
    <row r="32" spans="1:24" x14ac:dyDescent="0.3">
      <c r="A32" s="18" t="s">
        <v>72</v>
      </c>
      <c r="B32" s="17" t="s">
        <v>33</v>
      </c>
      <c r="C32" s="6" t="s">
        <v>109</v>
      </c>
      <c r="D32" s="27">
        <f t="shared" ref="D32:Q32" si="16">D7/D6</f>
        <v>0.10646365646305567</v>
      </c>
      <c r="E32" s="27">
        <f t="shared" si="16"/>
        <v>9.5880469709368837E-2</v>
      </c>
      <c r="F32" s="27">
        <f t="shared" si="16"/>
        <v>9.4180844382326337E-2</v>
      </c>
      <c r="G32" s="27">
        <f t="shared" si="16"/>
        <v>2.679766224305519E-2</v>
      </c>
      <c r="H32" s="27">
        <f t="shared" si="16"/>
        <v>6.3070244810179588E-2</v>
      </c>
      <c r="I32" s="27">
        <f t="shared" si="16"/>
        <v>6.8720298580430661E-2</v>
      </c>
      <c r="J32" s="27">
        <f t="shared" si="16"/>
        <v>6.1554185523671631E-2</v>
      </c>
      <c r="K32" s="27">
        <f t="shared" si="16"/>
        <v>5.2832503543217384E-2</v>
      </c>
      <c r="L32" s="27">
        <f t="shared" si="16"/>
        <v>4.9913819648958122E-2</v>
      </c>
      <c r="M32" s="27">
        <f t="shared" si="16"/>
        <v>4.3793797479939695E-2</v>
      </c>
      <c r="N32" s="27">
        <f t="shared" si="16"/>
        <v>7.4855849661278881E-2</v>
      </c>
      <c r="O32" s="27">
        <f t="shared" si="16"/>
        <v>0.10656294841779322</v>
      </c>
      <c r="P32" s="27">
        <f t="shared" si="16"/>
        <v>0.12209302325581395</v>
      </c>
      <c r="Q32" s="27">
        <f t="shared" si="16"/>
        <v>0.12804526036254474</v>
      </c>
      <c r="R32" s="27">
        <f t="shared" ref="R32:V32" si="17">R7/R6</f>
        <v>0.14057149604439723</v>
      </c>
      <c r="S32" s="27">
        <f t="shared" si="17"/>
        <v>0.14576176770959057</v>
      </c>
      <c r="T32" s="27">
        <f t="shared" si="17"/>
        <v>0.14450504670553571</v>
      </c>
      <c r="U32" s="27">
        <f t="shared" si="17"/>
        <v>0.1491730623716355</v>
      </c>
      <c r="V32" s="27">
        <f t="shared" si="17"/>
        <v>0.15282101698618167</v>
      </c>
      <c r="W32" s="27">
        <f t="shared" ref="W32:X32" si="18">W7/W6</f>
        <v>0.15374841168996187</v>
      </c>
      <c r="X32" s="27">
        <f t="shared" si="18"/>
        <v>0.22028811524609843</v>
      </c>
    </row>
    <row r="33" spans="1:24" x14ac:dyDescent="0.3">
      <c r="A33" s="16" t="s">
        <v>73</v>
      </c>
      <c r="B33" s="2" t="s">
        <v>34</v>
      </c>
      <c r="C33" s="1" t="s">
        <v>110</v>
      </c>
      <c r="D33" s="28">
        <f t="shared" ref="D33:Q33" si="19">D8/D6</f>
        <v>7.8536023111419245E-2</v>
      </c>
      <c r="E33" s="28">
        <f t="shared" si="19"/>
        <v>7.5474443547189282E-2</v>
      </c>
      <c r="F33" s="28">
        <f t="shared" si="19"/>
        <v>7.3894431989930801E-2</v>
      </c>
      <c r="G33" s="28">
        <f t="shared" si="19"/>
        <v>1.1016999594150392E-2</v>
      </c>
      <c r="H33" s="28">
        <f t="shared" si="19"/>
        <v>3.7761927401119159E-2</v>
      </c>
      <c r="I33" s="28">
        <f t="shared" si="19"/>
        <v>4.550251694677801E-2</v>
      </c>
      <c r="J33" s="28">
        <f t="shared" si="19"/>
        <v>3.7774152973428288E-2</v>
      </c>
      <c r="K33" s="28">
        <f t="shared" si="19"/>
        <v>2.9958262336682671E-2</v>
      </c>
      <c r="L33" s="28">
        <f t="shared" si="19"/>
        <v>2.0301840190573274E-2</v>
      </c>
      <c r="M33" s="28">
        <f t="shared" si="19"/>
        <v>9.9428620165502701E-3</v>
      </c>
      <c r="N33" s="28">
        <f t="shared" si="19"/>
        <v>2.8774806325697098E-2</v>
      </c>
      <c r="O33" s="28">
        <f t="shared" si="19"/>
        <v>5.8303753492938599E-2</v>
      </c>
      <c r="P33" s="28">
        <f t="shared" si="19"/>
        <v>6.9440815259994779E-2</v>
      </c>
      <c r="Q33" s="28">
        <f t="shared" si="19"/>
        <v>8.7634222376169038E-2</v>
      </c>
      <c r="R33" s="28">
        <f t="shared" ref="R33:V33" si="20">R8/R6</f>
        <v>8.1886881568071793E-2</v>
      </c>
      <c r="S33" s="28">
        <f t="shared" si="20"/>
        <v>3.9643487141398197E-2</v>
      </c>
      <c r="T33" s="28">
        <f t="shared" si="20"/>
        <v>8.7643407936806472E-2</v>
      </c>
      <c r="U33" s="28">
        <f t="shared" si="20"/>
        <v>9.5989622743487185E-2</v>
      </c>
      <c r="V33" s="28">
        <f t="shared" si="20"/>
        <v>9.8476159265934782E-2</v>
      </c>
      <c r="W33" s="28">
        <f t="shared" ref="W33:X33" si="21">W8/W6</f>
        <v>9.8226617313960554E-2</v>
      </c>
      <c r="X33" s="28">
        <f t="shared" si="21"/>
        <v>0.15512871815392823</v>
      </c>
    </row>
    <row r="34" spans="1:24" x14ac:dyDescent="0.3">
      <c r="A34" s="18" t="s">
        <v>74</v>
      </c>
      <c r="B34" s="17" t="s">
        <v>35</v>
      </c>
      <c r="C34" s="6" t="s">
        <v>54</v>
      </c>
      <c r="D34" s="27">
        <f t="shared" ref="D34:Q34" si="22">D11/D10</f>
        <v>0.21136970109425648</v>
      </c>
      <c r="E34" s="27">
        <f t="shared" si="22"/>
        <v>0.19178448495359887</v>
      </c>
      <c r="F34" s="27">
        <f t="shared" si="22"/>
        <v>0.25576524221204588</v>
      </c>
      <c r="G34" s="27">
        <f t="shared" si="22"/>
        <v>0.21264809871308438</v>
      </c>
      <c r="H34" s="27">
        <f t="shared" si="22"/>
        <v>0.21842828754544266</v>
      </c>
      <c r="I34" s="27">
        <f t="shared" si="22"/>
        <v>0.26643988025677562</v>
      </c>
      <c r="J34" s="27">
        <f t="shared" si="22"/>
        <v>0.25218623878971175</v>
      </c>
      <c r="K34" s="27">
        <f t="shared" si="22"/>
        <v>0.30415169696267308</v>
      </c>
      <c r="L34" s="27">
        <f t="shared" si="22"/>
        <v>0.36236914277177218</v>
      </c>
      <c r="M34" s="27">
        <f t="shared" si="22"/>
        <v>2.7960603075990607</v>
      </c>
      <c r="N34" s="27">
        <f t="shared" si="22"/>
        <v>0.58697876215217337</v>
      </c>
      <c r="O34" s="27">
        <f t="shared" si="22"/>
        <v>0.42688330871491875</v>
      </c>
      <c r="P34" s="27">
        <f t="shared" si="22"/>
        <v>0.3703976435935199</v>
      </c>
      <c r="Q34" s="27">
        <f t="shared" si="22"/>
        <v>0.46435331230283911</v>
      </c>
      <c r="R34" s="27">
        <f t="shared" ref="R34:V34" si="23">R11/R10</f>
        <v>0.50544959128065392</v>
      </c>
      <c r="S34" s="27">
        <f t="shared" si="23"/>
        <v>0.8318840579710145</v>
      </c>
      <c r="T34" s="27">
        <f t="shared" si="23"/>
        <v>0.53608567208271785</v>
      </c>
      <c r="U34" s="27">
        <f t="shared" si="23"/>
        <v>0.49477681159420289</v>
      </c>
      <c r="V34" s="27">
        <f t="shared" si="23"/>
        <v>0.51619532654284006</v>
      </c>
      <c r="W34" s="27">
        <f t="shared" ref="W34:X34" si="24">W11/W10</f>
        <v>0.54994054696789541</v>
      </c>
      <c r="X34" s="27">
        <f t="shared" si="24"/>
        <v>0.59329664832416207</v>
      </c>
    </row>
    <row r="35" spans="1:24" x14ac:dyDescent="0.3">
      <c r="A35" s="16" t="s">
        <v>75</v>
      </c>
      <c r="B35" s="2" t="s">
        <v>36</v>
      </c>
      <c r="C35" s="1" t="s">
        <v>108</v>
      </c>
      <c r="D35" s="28">
        <f t="shared" ref="D35:Q35" si="25">D12/D6</f>
        <v>6.3780791800602116E-2</v>
      </c>
      <c r="E35" s="28">
        <f t="shared" si="25"/>
        <v>6.0014019656143121E-2</v>
      </c>
      <c r="F35" s="28">
        <f t="shared" si="25"/>
        <v>5.6888202556727718E-2</v>
      </c>
      <c r="G35" s="28">
        <f t="shared" si="25"/>
        <v>7.7015954551164839E-3</v>
      </c>
      <c r="H35" s="28">
        <f t="shared" si="25"/>
        <v>2.8584014971230951E-2</v>
      </c>
      <c r="I35" s="28">
        <f t="shared" si="25"/>
        <v>3.1672401057658124E-2</v>
      </c>
      <c r="J35" s="28">
        <f t="shared" si="25"/>
        <v>2.5470945107918124E-2</v>
      </c>
      <c r="K35" s="28">
        <f t="shared" si="25"/>
        <v>1.8413359484988043E-2</v>
      </c>
      <c r="L35" s="28">
        <f t="shared" si="25"/>
        <v>9.5455123630072414E-3</v>
      </c>
      <c r="M35" s="28">
        <f t="shared" si="25"/>
        <v>-9.5657891709864541E-3</v>
      </c>
      <c r="N35" s="28">
        <f t="shared" si="25"/>
        <v>7.8484021125614263E-3</v>
      </c>
      <c r="O35" s="28">
        <f t="shared" si="25"/>
        <v>3.6477607431462881E-2</v>
      </c>
      <c r="P35" s="28">
        <f t="shared" si="25"/>
        <v>3.9325842696629212E-2</v>
      </c>
      <c r="Q35" s="28">
        <f t="shared" si="25"/>
        <v>4.0815148366239465E-2</v>
      </c>
      <c r="R35" s="28">
        <f t="shared" ref="R35:V35" si="26">R12/R6</f>
        <v>3.3061754634549537E-2</v>
      </c>
      <c r="S35" s="28">
        <f t="shared" si="26"/>
        <v>-3.8993593909572E-3</v>
      </c>
      <c r="T35" s="28">
        <f t="shared" si="26"/>
        <v>2.8986897373205443E-2</v>
      </c>
      <c r="U35" s="28">
        <f t="shared" si="26"/>
        <v>3.6831693870932873E-2</v>
      </c>
      <c r="V35" s="28">
        <f t="shared" si="26"/>
        <v>3.8689715440493745E-2</v>
      </c>
      <c r="W35" s="28">
        <f t="shared" ref="W35:X35" si="27">W12/W6</f>
        <v>4.2507596265399697E-2</v>
      </c>
      <c r="X35" s="28">
        <f t="shared" si="27"/>
        <v>6.3567426970788321E-2</v>
      </c>
    </row>
    <row r="36" spans="1:24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7.0290888409021814</v>
      </c>
      <c r="E36" s="29">
        <f t="shared" ref="E36:Q36" si="28">IF(E26/E12&lt;0,0,E26/E12)</f>
        <v>7.6841907643877505</v>
      </c>
      <c r="F36" s="29">
        <f t="shared" si="28"/>
        <v>21.137960381633604</v>
      </c>
      <c r="G36" s="29">
        <f t="shared" si="28"/>
        <v>50.901633738276999</v>
      </c>
      <c r="H36" s="29">
        <f t="shared" si="28"/>
        <v>28.761971019834601</v>
      </c>
      <c r="I36" s="29">
        <f t="shared" si="28"/>
        <v>26.431704079148314</v>
      </c>
      <c r="J36" s="29">
        <f t="shared" si="28"/>
        <v>21.884595153022314</v>
      </c>
      <c r="K36" s="29">
        <f t="shared" si="28"/>
        <v>28.682924322749781</v>
      </c>
      <c r="L36" s="29">
        <f t="shared" si="28"/>
        <v>51.826085857702438</v>
      </c>
      <c r="M36" s="29">
        <f t="shared" si="28"/>
        <v>0</v>
      </c>
      <c r="N36" s="29">
        <f t="shared" si="28"/>
        <v>71.466083579459223</v>
      </c>
      <c r="O36" s="29">
        <f t="shared" si="28"/>
        <v>24.362437888198755</v>
      </c>
      <c r="P36" s="29">
        <f t="shared" si="28"/>
        <v>21.110060215946842</v>
      </c>
      <c r="Q36" s="29">
        <f t="shared" si="28"/>
        <v>16.18034476661952</v>
      </c>
      <c r="R36" s="29">
        <f t="shared" ref="R36:V36" si="29">IF(R26/R12&lt;0,0,R26/R12)</f>
        <v>22.063973214285717</v>
      </c>
      <c r="S36" s="29">
        <f t="shared" si="29"/>
        <v>0</v>
      </c>
      <c r="T36" s="29">
        <f t="shared" si="29"/>
        <v>15.276923675844019</v>
      </c>
      <c r="U36" s="29">
        <f t="shared" si="29"/>
        <v>12.227062483491329</v>
      </c>
      <c r="V36" s="29">
        <f t="shared" si="29"/>
        <v>11.762573231503312</v>
      </c>
      <c r="W36" s="1"/>
      <c r="X36" s="1"/>
    </row>
    <row r="37" spans="1:24" x14ac:dyDescent="0.3">
      <c r="A37" s="16" t="s">
        <v>77</v>
      </c>
      <c r="B37" s="2" t="s">
        <v>38</v>
      </c>
      <c r="C37" s="1" t="s">
        <v>57</v>
      </c>
      <c r="D37" s="30">
        <f t="shared" ref="D37:S37" si="30">D26/D23</f>
        <v>2.0857901851850285</v>
      </c>
      <c r="E37" s="30">
        <f t="shared" si="30"/>
        <v>2.8738521715820089</v>
      </c>
      <c r="F37" s="30">
        <f t="shared" si="30"/>
        <v>6.4843537316458626</v>
      </c>
      <c r="G37" s="30">
        <f t="shared" si="30"/>
        <v>2.7139646210031341</v>
      </c>
      <c r="H37" s="30">
        <f t="shared" si="30"/>
        <v>4.2296489615194552</v>
      </c>
      <c r="I37" s="30">
        <f t="shared" si="30"/>
        <v>4.4578934908326948</v>
      </c>
      <c r="J37" s="30">
        <f t="shared" si="30"/>
        <v>3.281624046996638</v>
      </c>
      <c r="K37" s="30">
        <f t="shared" si="30"/>
        <v>1.4683695343882932</v>
      </c>
      <c r="L37" s="30">
        <f t="shared" si="30"/>
        <v>1.52398160541164</v>
      </c>
      <c r="M37" s="30">
        <f t="shared" si="30"/>
        <v>1.3908440551643437</v>
      </c>
      <c r="N37" s="30">
        <f t="shared" si="30"/>
        <v>1.8355341216132677</v>
      </c>
      <c r="O37" s="30">
        <f t="shared" si="30"/>
        <v>2.3628629518072288</v>
      </c>
      <c r="P37" s="30">
        <f t="shared" si="30"/>
        <v>2.9254733540515652</v>
      </c>
      <c r="Q37" s="30">
        <f t="shared" si="30"/>
        <v>2.4938966099847395</v>
      </c>
      <c r="R37" s="30">
        <f t="shared" si="30"/>
        <v>2.7954355203619912</v>
      </c>
      <c r="S37" s="30">
        <f t="shared" si="30"/>
        <v>2.2972324367088608</v>
      </c>
      <c r="T37" s="30">
        <f t="shared" ref="T37" si="31">T26/T23</f>
        <v>2.4723805390269509</v>
      </c>
      <c r="U37" s="30"/>
      <c r="V37" s="1"/>
      <c r="W37" s="1"/>
      <c r="X37" s="1"/>
    </row>
    <row r="38" spans="1:24" x14ac:dyDescent="0.3">
      <c r="A38" s="18" t="s">
        <v>78</v>
      </c>
      <c r="B38" s="17" t="s">
        <v>39</v>
      </c>
      <c r="C38" s="6" t="s">
        <v>106</v>
      </c>
      <c r="D38" s="55">
        <f t="shared" ref="D38:S38" si="32">D8/D23</f>
        <v>0.36538489229656368</v>
      </c>
      <c r="E38" s="55">
        <f t="shared" si="32"/>
        <v>0.4703417062369899</v>
      </c>
      <c r="F38" s="55">
        <f t="shared" si="32"/>
        <v>0.39846769893337736</v>
      </c>
      <c r="G38" s="55">
        <f t="shared" si="32"/>
        <v>7.6270236169937333E-2</v>
      </c>
      <c r="H38" s="55">
        <f t="shared" si="32"/>
        <v>0.19427485910312989</v>
      </c>
      <c r="I38" s="55">
        <f t="shared" si="32"/>
        <v>0.24230309220163143</v>
      </c>
      <c r="J38" s="55">
        <f t="shared" si="32"/>
        <v>0.22238218003710294</v>
      </c>
      <c r="K38" s="55">
        <f t="shared" si="32"/>
        <v>8.3290510819159155E-2</v>
      </c>
      <c r="L38" s="55">
        <f t="shared" si="32"/>
        <v>6.2541382212662491E-2</v>
      </c>
      <c r="M38" s="55">
        <f t="shared" si="32"/>
        <v>3.6013121693375429E-2</v>
      </c>
      <c r="N38" s="55">
        <f t="shared" si="32"/>
        <v>9.4165895863395355E-2</v>
      </c>
      <c r="O38" s="55">
        <f t="shared" si="32"/>
        <v>0.15502008032128514</v>
      </c>
      <c r="P38" s="55">
        <f t="shared" si="32"/>
        <v>0.24470534069981584</v>
      </c>
      <c r="Q38" s="55">
        <f t="shared" si="32"/>
        <v>0.33093525179856115</v>
      </c>
      <c r="R38" s="55">
        <f t="shared" si="32"/>
        <v>0.31380090497737556</v>
      </c>
      <c r="S38" s="55">
        <f t="shared" si="32"/>
        <v>0.13512658227848101</v>
      </c>
      <c r="T38" s="55">
        <f t="shared" ref="T38" si="33">T8/T23</f>
        <v>0.48932446622331116</v>
      </c>
      <c r="U38" s="55"/>
      <c r="V38" s="1"/>
      <c r="W38" s="1"/>
      <c r="X38" s="1"/>
    </row>
    <row r="39" spans="1:24" x14ac:dyDescent="0.3">
      <c r="A39" s="16" t="s">
        <v>79</v>
      </c>
      <c r="B39" s="2" t="s">
        <v>40</v>
      </c>
      <c r="C39" s="1" t="s">
        <v>107</v>
      </c>
      <c r="D39" s="56">
        <f t="shared" ref="D39:S39" si="34">D12/D23</f>
        <v>0.29673692172559279</v>
      </c>
      <c r="E39" s="56">
        <f t="shared" si="34"/>
        <v>0.37399542251095935</v>
      </c>
      <c r="F39" s="56">
        <f t="shared" si="34"/>
        <v>0.30676345373794917</v>
      </c>
      <c r="G39" s="56">
        <f t="shared" si="34"/>
        <v>5.3317829344292487E-2</v>
      </c>
      <c r="H39" s="56">
        <f t="shared" si="34"/>
        <v>0.14705699267281225</v>
      </c>
      <c r="I39" s="56">
        <f t="shared" si="34"/>
        <v>0.16865705962369179</v>
      </c>
      <c r="J39" s="56">
        <f t="shared" si="34"/>
        <v>0.1499513253067164</v>
      </c>
      <c r="K39" s="56">
        <f t="shared" si="34"/>
        <v>5.1193160009269351E-2</v>
      </c>
      <c r="L39" s="56">
        <f t="shared" si="34"/>
        <v>2.9405685962779388E-2</v>
      </c>
      <c r="M39" s="56">
        <f t="shared" si="34"/>
        <v>-3.4647360984642536E-2</v>
      </c>
      <c r="N39" s="56">
        <f t="shared" si="34"/>
        <v>2.5683989239069435E-2</v>
      </c>
      <c r="O39" s="56">
        <f t="shared" si="34"/>
        <v>9.6987951807228912E-2</v>
      </c>
      <c r="P39" s="56">
        <f t="shared" si="34"/>
        <v>0.13858195211786373</v>
      </c>
      <c r="Q39" s="56">
        <f t="shared" si="34"/>
        <v>0.15413124046217572</v>
      </c>
      <c r="R39" s="56">
        <f t="shared" si="34"/>
        <v>0.12669683257918551</v>
      </c>
      <c r="S39" s="56">
        <f t="shared" si="34"/>
        <v>-1.3291139240506329E-2</v>
      </c>
      <c r="T39" s="56">
        <f t="shared" ref="T39" si="35">T12/T23</f>
        <v>0.16183759187959398</v>
      </c>
      <c r="U39" s="56"/>
      <c r="V39" s="1"/>
      <c r="W39" s="1"/>
      <c r="X39" s="1"/>
    </row>
    <row r="40" spans="1:24" x14ac:dyDescent="0.3">
      <c r="A40" s="18" t="s">
        <v>80</v>
      </c>
      <c r="B40" s="17" t="s">
        <v>41</v>
      </c>
      <c r="C40" s="6" t="s">
        <v>61</v>
      </c>
      <c r="D40" s="7">
        <f t="shared" ref="D40:S40" si="36">D20-D19</f>
        <v>652.51700000000005</v>
      </c>
      <c r="E40" s="7">
        <f t="shared" si="36"/>
        <v>367.06099999999969</v>
      </c>
      <c r="F40" s="7">
        <f t="shared" si="36"/>
        <v>595.25199999999995</v>
      </c>
      <c r="G40" s="7">
        <f t="shared" si="36"/>
        <v>27.420000000000073</v>
      </c>
      <c r="H40" s="7">
        <f t="shared" si="36"/>
        <v>309.89199999999983</v>
      </c>
      <c r="I40" s="7">
        <f t="shared" si="36"/>
        <v>214.39199999999983</v>
      </c>
      <c r="J40" s="7">
        <f t="shared" si="36"/>
        <v>-234.05400000000009</v>
      </c>
      <c r="K40" s="7">
        <f t="shared" si="36"/>
        <v>2387.8690000000001</v>
      </c>
      <c r="L40" s="7">
        <f t="shared" si="36"/>
        <v>2785.5429999999997</v>
      </c>
      <c r="M40" s="7">
        <f t="shared" si="36"/>
        <v>2778.6570000000002</v>
      </c>
      <c r="N40" s="7">
        <f t="shared" si="36"/>
        <v>2080.4470000000001</v>
      </c>
      <c r="O40" s="7">
        <f t="shared" si="36"/>
        <v>1975</v>
      </c>
      <c r="P40" s="7">
        <f t="shared" si="36"/>
        <v>1815</v>
      </c>
      <c r="Q40" s="7">
        <f t="shared" si="36"/>
        <v>2092</v>
      </c>
      <c r="R40" s="7">
        <f t="shared" si="36"/>
        <v>1724</v>
      </c>
      <c r="S40" s="7">
        <f t="shared" si="36"/>
        <v>2087</v>
      </c>
      <c r="T40" s="7">
        <f t="shared" ref="T40" si="37">T20-T19</f>
        <v>1582</v>
      </c>
      <c r="U40" s="7"/>
      <c r="V40" s="1"/>
      <c r="W40" s="1"/>
      <c r="X40" s="1"/>
    </row>
    <row r="41" spans="1:24" x14ac:dyDescent="0.3">
      <c r="A41" s="53" t="s">
        <v>96</v>
      </c>
      <c r="B41" s="49" t="s">
        <v>42</v>
      </c>
      <c r="C41" s="52" t="s">
        <v>98</v>
      </c>
      <c r="D41" s="29">
        <f>D20/D19</f>
        <v>1.3371229616862632</v>
      </c>
      <c r="E41" s="29">
        <f t="shared" ref="E41:S41" si="38">E20/E19</f>
        <v>1.166567665377154</v>
      </c>
      <c r="F41" s="29">
        <f t="shared" si="38"/>
        <v>1.261950214444201</v>
      </c>
      <c r="G41" s="29">
        <f t="shared" si="38"/>
        <v>1.0102799659883839</v>
      </c>
      <c r="H41" s="29">
        <f t="shared" si="38"/>
        <v>1.123145566267655</v>
      </c>
      <c r="I41" s="29">
        <f t="shared" si="38"/>
        <v>1.0671427171078447</v>
      </c>
      <c r="J41" s="29">
        <f t="shared" si="38"/>
        <v>0.94173724831755334</v>
      </c>
      <c r="K41" s="29">
        <f t="shared" si="38"/>
        <v>1.6654372494197309</v>
      </c>
      <c r="L41" s="29">
        <f t="shared" si="38"/>
        <v>1.9842424700694912</v>
      </c>
      <c r="M41" s="29">
        <f t="shared" si="38"/>
        <v>2.2884553320535295</v>
      </c>
      <c r="N41" s="29">
        <f t="shared" si="38"/>
        <v>2.0238868729978825</v>
      </c>
      <c r="O41" s="29">
        <f t="shared" si="38"/>
        <v>1.9156235512285582</v>
      </c>
      <c r="P41" s="29">
        <f t="shared" si="38"/>
        <v>1.7469135802469136</v>
      </c>
      <c r="Q41" s="29">
        <f t="shared" si="38"/>
        <v>1.7942293090356871</v>
      </c>
      <c r="R41" s="29">
        <f t="shared" si="38"/>
        <v>1.59881903438694</v>
      </c>
      <c r="S41" s="29">
        <f t="shared" si="38"/>
        <v>1.9283807829181494</v>
      </c>
      <c r="T41" s="29">
        <f t="shared" ref="T41" si="39">T20/T19</f>
        <v>1.5085181613629057</v>
      </c>
      <c r="U41" s="29"/>
      <c r="V41" s="1"/>
      <c r="W41" s="1"/>
      <c r="X41" s="1"/>
    </row>
    <row r="42" spans="1:24" x14ac:dyDescent="0.3">
      <c r="A42" s="16" t="s">
        <v>81</v>
      </c>
      <c r="B42" s="17" t="s">
        <v>43</v>
      </c>
      <c r="C42" s="1" t="s">
        <v>60</v>
      </c>
      <c r="D42" s="30">
        <f t="shared" ref="D42:S42" si="40">(D20-D21)/D19</f>
        <v>0.71747506905028358</v>
      </c>
      <c r="E42" s="30">
        <f t="shared" si="40"/>
        <v>0.68316425970254224</v>
      </c>
      <c r="F42" s="30">
        <f t="shared" si="40"/>
        <v>0.66926217640840946</v>
      </c>
      <c r="G42" s="30">
        <f t="shared" si="40"/>
        <v>0.60669419987972972</v>
      </c>
      <c r="H42" s="30">
        <f t="shared" si="40"/>
        <v>0.63482919916756364</v>
      </c>
      <c r="I42" s="30">
        <f t="shared" si="40"/>
        <v>0.57541326099354251</v>
      </c>
      <c r="J42" s="30">
        <f t="shared" si="40"/>
        <v>0.47504402925907624</v>
      </c>
      <c r="K42" s="30">
        <f t="shared" si="40"/>
        <v>1.1147423894799413</v>
      </c>
      <c r="L42" s="30">
        <f t="shared" si="40"/>
        <v>1.3321165497525032</v>
      </c>
      <c r="M42" s="30">
        <f t="shared" si="40"/>
        <v>1.727208357677434</v>
      </c>
      <c r="N42" s="30">
        <f t="shared" si="40"/>
        <v>1.5944792857561183</v>
      </c>
      <c r="O42" s="30">
        <f t="shared" si="40"/>
        <v>1.5127491886879927</v>
      </c>
      <c r="P42" s="30">
        <f t="shared" si="40"/>
        <v>1.3477366255144032</v>
      </c>
      <c r="Q42" s="30">
        <f t="shared" si="40"/>
        <v>1.3496583143507972</v>
      </c>
      <c r="R42" s="30">
        <f t="shared" si="40"/>
        <v>1.2323723515109413</v>
      </c>
      <c r="S42" s="30">
        <f t="shared" si="40"/>
        <v>1.6134341637010676</v>
      </c>
      <c r="T42" s="30">
        <f t="shared" ref="T42" si="41">(T20-T21)/T19</f>
        <v>1.2147219543555128</v>
      </c>
      <c r="U42" s="30"/>
      <c r="V42" s="1"/>
      <c r="W42" s="1"/>
      <c r="X42" s="1"/>
    </row>
    <row r="43" spans="1:24" x14ac:dyDescent="0.3">
      <c r="A43" s="18" t="s">
        <v>82</v>
      </c>
      <c r="B43" s="49" t="s">
        <v>44</v>
      </c>
      <c r="C43" s="6" t="s">
        <v>62</v>
      </c>
      <c r="D43" s="29">
        <f t="shared" ref="D43:S43" si="42">D14/D19</f>
        <v>8.1442135707443783E-2</v>
      </c>
      <c r="E43" s="29">
        <f t="shared" si="42"/>
        <v>9.641530624978728E-2</v>
      </c>
      <c r="F43" s="29">
        <f t="shared" si="42"/>
        <v>4.7164522224657258E-2</v>
      </c>
      <c r="G43" s="29">
        <f t="shared" si="42"/>
        <v>4.767624780491609E-2</v>
      </c>
      <c r="H43" s="29">
        <f t="shared" si="42"/>
        <v>9.6897279481686444E-2</v>
      </c>
      <c r="I43" s="29">
        <f t="shared" si="42"/>
        <v>5.8887675500668785E-2</v>
      </c>
      <c r="J43" s="29">
        <f t="shared" si="42"/>
        <v>7.4286788235133044E-2</v>
      </c>
      <c r="K43" s="29">
        <f t="shared" si="42"/>
        <v>0.52578083786712881</v>
      </c>
      <c r="L43" s="29">
        <f t="shared" si="42"/>
        <v>0.5312071244557246</v>
      </c>
      <c r="M43" s="29">
        <f t="shared" si="42"/>
        <v>0.47454580864146007</v>
      </c>
      <c r="N43" s="29">
        <f t="shared" si="42"/>
        <v>0.55661886765709712</v>
      </c>
      <c r="O43" s="29">
        <f t="shared" si="42"/>
        <v>0.47890588780713955</v>
      </c>
      <c r="P43" s="29">
        <f t="shared" si="42"/>
        <v>0.5024691358024691</v>
      </c>
      <c r="Q43" s="29">
        <f t="shared" si="42"/>
        <v>0.57251328777524679</v>
      </c>
      <c r="R43" s="29">
        <f t="shared" si="42"/>
        <v>0.52205626953803408</v>
      </c>
      <c r="S43" s="29">
        <f t="shared" si="42"/>
        <v>0.76467971530249113</v>
      </c>
      <c r="T43" s="29">
        <f t="shared" ref="T43" si="43">T14/T19</f>
        <v>0.40340726454516235</v>
      </c>
      <c r="U43" s="29"/>
      <c r="V43" s="1"/>
      <c r="W43" s="1"/>
      <c r="X43" s="1"/>
    </row>
    <row r="44" spans="1:24" x14ac:dyDescent="0.3">
      <c r="A44" s="16" t="s">
        <v>83</v>
      </c>
      <c r="B44" s="17" t="s">
        <v>45</v>
      </c>
      <c r="C44" s="1" t="s">
        <v>63</v>
      </c>
      <c r="D44" s="30">
        <f t="shared" ref="D44:S44" si="44">D29/D7</f>
        <v>1.018656828082716</v>
      </c>
      <c r="E44" s="30">
        <f t="shared" si="44"/>
        <v>0.73519077366810048</v>
      </c>
      <c r="F44" s="30">
        <f t="shared" si="44"/>
        <v>0.57367618188237401</v>
      </c>
      <c r="G44" s="30">
        <f t="shared" si="44"/>
        <v>4.5787960687960689</v>
      </c>
      <c r="H44" s="30">
        <f t="shared" si="44"/>
        <v>2.5147334228601332</v>
      </c>
      <c r="I44" s="30">
        <f t="shared" si="44"/>
        <v>2.8975285167223976</v>
      </c>
      <c r="J44" s="30">
        <f t="shared" si="44"/>
        <v>3.3511922864318247</v>
      </c>
      <c r="K44" s="30">
        <f t="shared" si="44"/>
        <v>1.721984379901585</v>
      </c>
      <c r="L44" s="30">
        <f t="shared" si="44"/>
        <v>2.2033217943974495</v>
      </c>
      <c r="M44" s="30">
        <f t="shared" si="44"/>
        <v>3.3268810458701958</v>
      </c>
      <c r="N44" s="30">
        <f t="shared" si="44"/>
        <v>2.0710624465355005</v>
      </c>
      <c r="O44" s="30">
        <f t="shared" si="44"/>
        <v>1.3253012048192772</v>
      </c>
      <c r="P44" s="30">
        <f t="shared" si="44"/>
        <v>0.99625468164794007</v>
      </c>
      <c r="Q44" s="30">
        <f t="shared" si="44"/>
        <v>0.78313796212804332</v>
      </c>
      <c r="R44" s="30">
        <f t="shared" si="44"/>
        <v>1.0982780344393113</v>
      </c>
      <c r="S44" s="30">
        <f t="shared" si="44"/>
        <v>1.9828025477707005</v>
      </c>
      <c r="T44" s="30">
        <f t="shared" ref="T44" si="45">T29/T7</f>
        <v>1.3865509761388286</v>
      </c>
      <c r="U44" s="30"/>
      <c r="V44" s="1"/>
      <c r="W44" s="1"/>
      <c r="X44" s="1"/>
    </row>
    <row r="45" spans="1:24" x14ac:dyDescent="0.3">
      <c r="A45" s="18" t="s">
        <v>84</v>
      </c>
      <c r="B45" s="54" t="s">
        <v>99</v>
      </c>
      <c r="C45" s="6" t="s">
        <v>64</v>
      </c>
      <c r="D45" s="29">
        <f t="shared" ref="D45:S45" si="46">D18/D23</f>
        <v>1.5028002639329223</v>
      </c>
      <c r="E45" s="29">
        <f t="shared" si="46"/>
        <v>1.5881657191756555</v>
      </c>
      <c r="F45" s="29">
        <f t="shared" si="46"/>
        <v>1.4073655903903453</v>
      </c>
      <c r="G45" s="29">
        <f t="shared" si="46"/>
        <v>2.0075178545056072</v>
      </c>
      <c r="H45" s="29">
        <f t="shared" si="46"/>
        <v>2.169811800147281</v>
      </c>
      <c r="I45" s="29">
        <f t="shared" si="46"/>
        <v>2.4081287319867943</v>
      </c>
      <c r="J45" s="29">
        <f t="shared" si="46"/>
        <v>2.5000882001384168</v>
      </c>
      <c r="K45" s="29">
        <f t="shared" si="46"/>
        <v>1.0740572510421305</v>
      </c>
      <c r="L45" s="29">
        <f t="shared" si="46"/>
        <v>1.1380535552853892</v>
      </c>
      <c r="M45" s="29">
        <f t="shared" si="46"/>
        <v>1.3569079417336707</v>
      </c>
      <c r="N45" s="29">
        <f t="shared" si="46"/>
        <v>1.6808191316235819</v>
      </c>
      <c r="O45" s="29">
        <f t="shared" si="46"/>
        <v>1.4977911646586346</v>
      </c>
      <c r="P45" s="29">
        <f t="shared" si="46"/>
        <v>1.774171270718232</v>
      </c>
      <c r="Q45" s="29">
        <f t="shared" si="46"/>
        <v>1.7658600392413342</v>
      </c>
      <c r="R45" s="29">
        <f t="shared" si="46"/>
        <v>2.1153846153846154</v>
      </c>
      <c r="S45" s="29">
        <f t="shared" si="46"/>
        <v>2.9531645569620255</v>
      </c>
      <c r="T45" s="29">
        <f t="shared" ref="T45" si="47">T18/T23</f>
        <v>3.7483374168708434</v>
      </c>
      <c r="U45" s="29"/>
      <c r="V45" s="1"/>
      <c r="W45" s="1"/>
      <c r="X45" s="1"/>
    </row>
    <row r="46" spans="1:24" x14ac:dyDescent="0.3">
      <c r="A46" s="18" t="s">
        <v>97</v>
      </c>
      <c r="B46" s="17" t="s">
        <v>100</v>
      </c>
      <c r="C46" s="6" t="s">
        <v>111</v>
      </c>
      <c r="D46" s="28">
        <f t="shared" ref="D46:X46" si="48">D13/D4</f>
        <v>4.3993231810490696E-2</v>
      </c>
      <c r="E46" s="28">
        <f t="shared" si="48"/>
        <v>0.18876080691642652</v>
      </c>
      <c r="F46" s="28">
        <f t="shared" si="48"/>
        <v>2.5013594344752584E-2</v>
      </c>
      <c r="G46" s="28">
        <f t="shared" si="48"/>
        <v>4.456824512534819E-2</v>
      </c>
      <c r="H46" s="28">
        <f t="shared" si="48"/>
        <v>1.9039735099337748E-2</v>
      </c>
      <c r="I46" s="28">
        <f t="shared" si="48"/>
        <v>1.3947001394700141E-2</v>
      </c>
      <c r="J46" s="28">
        <f t="shared" si="48"/>
        <v>1.7574692442882248E-2</v>
      </c>
      <c r="K46" s="28">
        <f t="shared" si="48"/>
        <v>2.7210884353741499E-2</v>
      </c>
      <c r="L46" s="28">
        <f t="shared" si="48"/>
        <v>2.2651006711409398E-2</v>
      </c>
      <c r="M46" s="28">
        <f t="shared" si="48"/>
        <v>3.9145907473309614E-2</v>
      </c>
      <c r="N46" s="28">
        <f t="shared" si="48"/>
        <v>3.6380597014925374E-2</v>
      </c>
      <c r="O46" s="28">
        <f t="shared" si="48"/>
        <v>3.5236081747709654E-2</v>
      </c>
      <c r="P46" s="28">
        <f t="shared" si="48"/>
        <v>2.6101141924959218E-2</v>
      </c>
      <c r="Q46" s="28">
        <f t="shared" si="48"/>
        <v>4.5668720550924247E-2</v>
      </c>
      <c r="R46" s="28">
        <f t="shared" si="48"/>
        <v>4.4966442953020137E-2</v>
      </c>
      <c r="S46" s="28">
        <f t="shared" si="48"/>
        <v>3.9981722641078361E-2</v>
      </c>
      <c r="T46" s="28">
        <f t="shared" si="48"/>
        <v>6.8075117370892016E-2</v>
      </c>
      <c r="U46" s="28">
        <f t="shared" si="48"/>
        <v>6.3681592039800991E-2</v>
      </c>
      <c r="V46" s="28">
        <f t="shared" si="48"/>
        <v>7.2636815920398001E-2</v>
      </c>
      <c r="W46" s="28">
        <f t="shared" si="48"/>
        <v>7.5621890547263676E-2</v>
      </c>
      <c r="X46" s="28">
        <f t="shared" si="48"/>
        <v>8.5572139303482578E-2</v>
      </c>
    </row>
  </sheetData>
  <mergeCells count="2">
    <mergeCell ref="A6:A13"/>
    <mergeCell ref="A14:A2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40223-3BD7-4E02-AAE2-AD31F5FA82C8}">
  <sheetPr codeName="Planilha19"/>
  <dimension ref="A3:AL67"/>
  <sheetViews>
    <sheetView workbookViewId="0">
      <pane xSplit="3" ySplit="3" topLeftCell="D19" activePane="bottomRight" state="frozen"/>
      <selection activeCell="C22" sqref="C22"/>
      <selection pane="topRight" activeCell="C22" sqref="C22"/>
      <selection pane="bottomLeft" activeCell="C22" sqref="C22"/>
      <selection pane="bottomRight" activeCell="S33" sqref="S33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29" width="8.33203125" customWidth="1"/>
    <col min="32" max="32" width="27.33203125" bestFit="1" customWidth="1"/>
    <col min="33" max="33" width="14.21875" bestFit="1" customWidth="1"/>
    <col min="34" max="34" width="6.77734375" bestFit="1" customWidth="1"/>
    <col min="35" max="35" width="15.77734375" bestFit="1" customWidth="1"/>
    <col min="36" max="36" width="15.6640625" bestFit="1" customWidth="1"/>
    <col min="37" max="38" width="9.88671875" bestFit="1" customWidth="1"/>
  </cols>
  <sheetData>
    <row r="3" spans="1:31" s="10" customFormat="1" x14ac:dyDescent="0.3">
      <c r="A3" s="9" t="s">
        <v>25</v>
      </c>
      <c r="B3" s="8" t="s">
        <v>23</v>
      </c>
      <c r="C3" s="9" t="s">
        <v>24</v>
      </c>
      <c r="D3" s="8">
        <v>96</v>
      </c>
      <c r="E3" s="8">
        <v>97</v>
      </c>
      <c r="F3" s="8">
        <v>98</v>
      </c>
      <c r="G3" s="8">
        <v>99</v>
      </c>
      <c r="H3" s="8">
        <v>2000</v>
      </c>
      <c r="I3" s="8">
        <v>1</v>
      </c>
      <c r="J3" s="8">
        <v>2</v>
      </c>
      <c r="K3" s="8">
        <v>3</v>
      </c>
      <c r="L3" s="8">
        <v>4</v>
      </c>
      <c r="M3" s="8">
        <v>5</v>
      </c>
      <c r="N3" s="8">
        <v>6</v>
      </c>
      <c r="O3" s="8">
        <v>7</v>
      </c>
      <c r="P3" s="8">
        <v>8</v>
      </c>
      <c r="Q3" s="8">
        <v>9</v>
      </c>
      <c r="R3" s="8">
        <v>10</v>
      </c>
      <c r="S3" s="8">
        <v>11</v>
      </c>
      <c r="T3" s="8">
        <v>12</v>
      </c>
      <c r="U3" s="8">
        <v>13</v>
      </c>
      <c r="V3" s="8">
        <v>14</v>
      </c>
      <c r="W3" s="8">
        <v>15</v>
      </c>
      <c r="X3" s="8">
        <v>16</v>
      </c>
      <c r="Y3" s="8">
        <v>17</v>
      </c>
      <c r="Z3" s="8">
        <v>18</v>
      </c>
      <c r="AA3" s="8">
        <v>19</v>
      </c>
      <c r="AB3" s="8">
        <v>20</v>
      </c>
      <c r="AC3" s="8" t="s">
        <v>3</v>
      </c>
      <c r="AD3" s="8" t="s">
        <v>94</v>
      </c>
      <c r="AE3" s="8" t="s">
        <v>116</v>
      </c>
    </row>
    <row r="4" spans="1:31" x14ac:dyDescent="0.3">
      <c r="A4" s="4" t="s">
        <v>5</v>
      </c>
      <c r="B4" s="11">
        <v>1</v>
      </c>
      <c r="C4" s="6" t="s">
        <v>4</v>
      </c>
      <c r="D4" s="19">
        <v>1.48</v>
      </c>
      <c r="E4" s="19">
        <v>1.9</v>
      </c>
      <c r="F4" s="19">
        <v>5.99</v>
      </c>
      <c r="G4" s="19">
        <v>3.02</v>
      </c>
      <c r="H4" s="19">
        <v>2.33</v>
      </c>
      <c r="I4" s="19">
        <v>2.08</v>
      </c>
      <c r="J4" s="19">
        <v>1.94</v>
      </c>
      <c r="K4" s="19">
        <v>2.17</v>
      </c>
      <c r="L4" s="19">
        <v>2.72</v>
      </c>
      <c r="M4" s="19">
        <v>3.33</v>
      </c>
      <c r="N4" s="19">
        <v>5.42</v>
      </c>
      <c r="O4" s="19">
        <v>6.37</v>
      </c>
      <c r="P4" s="19">
        <v>3.83</v>
      </c>
      <c r="Q4" s="19">
        <v>5.12</v>
      </c>
      <c r="R4" s="19">
        <v>4.5</v>
      </c>
      <c r="S4" s="19">
        <v>2.2599999999999998</v>
      </c>
      <c r="T4" s="19">
        <v>2.2240000000000002</v>
      </c>
      <c r="U4" s="19">
        <v>3.44</v>
      </c>
      <c r="V4" s="19">
        <v>3.78</v>
      </c>
      <c r="W4" s="19">
        <v>4.95</v>
      </c>
      <c r="X4" s="19">
        <v>8.33</v>
      </c>
      <c r="Y4" s="19">
        <v>10.130000000000001</v>
      </c>
      <c r="Z4" s="19">
        <v>7.9</v>
      </c>
      <c r="AA4" s="19">
        <v>8</v>
      </c>
      <c r="AB4" s="19">
        <v>5.4</v>
      </c>
      <c r="AC4" s="19">
        <v>5.18</v>
      </c>
      <c r="AD4" s="19">
        <v>4.9800000000000004</v>
      </c>
      <c r="AE4" s="19">
        <v>4.9800000000000004</v>
      </c>
    </row>
    <row r="5" spans="1:31" x14ac:dyDescent="0.3">
      <c r="A5" s="5" t="s">
        <v>8</v>
      </c>
      <c r="B5" s="12">
        <v>3</v>
      </c>
      <c r="C5" s="1" t="s">
        <v>86</v>
      </c>
      <c r="D5" s="3"/>
      <c r="E5" s="3">
        <v>21</v>
      </c>
      <c r="F5" s="3">
        <v>21</v>
      </c>
      <c r="G5" s="3">
        <v>21</v>
      </c>
      <c r="H5" s="3">
        <v>36</v>
      </c>
      <c r="I5" s="3">
        <v>36</v>
      </c>
      <c r="J5" s="3">
        <v>36</v>
      </c>
      <c r="K5" s="3">
        <v>36</v>
      </c>
      <c r="L5" s="3">
        <v>36</v>
      </c>
      <c r="M5" s="3">
        <v>33.937928999999997</v>
      </c>
      <c r="N5" s="3">
        <v>33</v>
      </c>
      <c r="O5" s="3">
        <v>33</v>
      </c>
      <c r="P5" s="3">
        <v>33</v>
      </c>
      <c r="Q5" s="3">
        <v>33</v>
      </c>
      <c r="R5" s="3">
        <v>33</v>
      </c>
      <c r="S5" s="3">
        <v>33</v>
      </c>
      <c r="T5" s="3">
        <v>33</v>
      </c>
      <c r="U5" s="3">
        <v>33</v>
      </c>
      <c r="V5" s="3">
        <v>33</v>
      </c>
      <c r="W5" s="3">
        <v>33</v>
      </c>
      <c r="X5" s="3">
        <v>32.400142499999994</v>
      </c>
      <c r="Y5" s="3">
        <v>32.400074400000001</v>
      </c>
      <c r="Z5" s="3">
        <v>32</v>
      </c>
      <c r="AA5" s="3">
        <v>36</v>
      </c>
      <c r="AB5" s="3">
        <v>36</v>
      </c>
      <c r="AC5" s="3">
        <v>42.4</v>
      </c>
      <c r="AD5" s="3">
        <v>42.4</v>
      </c>
      <c r="AE5" s="3">
        <v>42.4</v>
      </c>
    </row>
    <row r="6" spans="1:31" x14ac:dyDescent="0.3">
      <c r="A6" s="101" t="s">
        <v>7</v>
      </c>
      <c r="B6" s="13">
        <v>4</v>
      </c>
      <c r="C6" s="6" t="s">
        <v>104</v>
      </c>
      <c r="D6" s="7"/>
      <c r="E6" s="7"/>
      <c r="F6" s="7">
        <v>65.67</v>
      </c>
      <c r="G6" s="7">
        <v>75.16</v>
      </c>
      <c r="H6" s="7">
        <v>82.249474000000006</v>
      </c>
      <c r="I6" s="7">
        <v>96.723540999999997</v>
      </c>
      <c r="J6" s="7">
        <v>120.61</v>
      </c>
      <c r="K6" s="7">
        <v>131.1</v>
      </c>
      <c r="L6" s="7">
        <v>139.4</v>
      </c>
      <c r="M6" s="7">
        <v>142.4</v>
      </c>
      <c r="N6" s="7">
        <v>169.599999</v>
      </c>
      <c r="O6" s="7">
        <v>206.03619499999999</v>
      </c>
      <c r="P6" s="7">
        <v>218.072495</v>
      </c>
      <c r="Q6" s="7">
        <v>211.27655200000001</v>
      </c>
      <c r="R6" s="7">
        <v>215.93038100000001</v>
      </c>
      <c r="S6" s="7">
        <v>198.15866399999999</v>
      </c>
      <c r="T6" s="7">
        <v>174.10023100000001</v>
      </c>
      <c r="U6" s="7">
        <v>174.307605</v>
      </c>
      <c r="V6" s="7">
        <v>189.639805</v>
      </c>
      <c r="W6" s="7">
        <v>215.93937700000001</v>
      </c>
      <c r="X6" s="7">
        <v>278.92</v>
      </c>
      <c r="Y6" s="7">
        <v>458.11</v>
      </c>
      <c r="Z6" s="7">
        <v>460.03</v>
      </c>
      <c r="AA6" s="7">
        <v>481.76</v>
      </c>
      <c r="AB6" s="7">
        <v>287.64</v>
      </c>
      <c r="AC6" s="67">
        <v>361.5</v>
      </c>
      <c r="AD6" s="81">
        <v>461</v>
      </c>
      <c r="AE6" s="81">
        <v>509.5</v>
      </c>
    </row>
    <row r="7" spans="1:31" x14ac:dyDescent="0.3">
      <c r="A7" s="101"/>
      <c r="B7" s="13">
        <v>5</v>
      </c>
      <c r="C7" s="1" t="s">
        <v>9</v>
      </c>
      <c r="D7" s="3"/>
      <c r="E7" s="3"/>
      <c r="F7" s="3">
        <v>10.02</v>
      </c>
      <c r="G7" s="3">
        <v>11.76</v>
      </c>
      <c r="H7" s="3">
        <v>12.714537999999999</v>
      </c>
      <c r="I7" s="3">
        <v>15.49</v>
      </c>
      <c r="J7" s="3">
        <v>17.8</v>
      </c>
      <c r="K7" s="3">
        <v>19.7</v>
      </c>
      <c r="L7" s="3">
        <v>23.2</v>
      </c>
      <c r="M7" s="3">
        <v>24.1</v>
      </c>
      <c r="N7" s="3">
        <v>27.8</v>
      </c>
      <c r="O7" s="3">
        <v>32.4</v>
      </c>
      <c r="P7" s="3">
        <v>35</v>
      </c>
      <c r="Q7" s="3">
        <v>34</v>
      </c>
      <c r="R7" s="3">
        <v>32.299999999999997</v>
      </c>
      <c r="S7" s="3">
        <v>23.3</v>
      </c>
      <c r="T7" s="3">
        <v>17.100000000000001</v>
      </c>
      <c r="U7" s="3">
        <v>18.600000000000001</v>
      </c>
      <c r="V7" s="3">
        <v>25.4</v>
      </c>
      <c r="W7" s="3">
        <v>32.700000000000003</v>
      </c>
      <c r="X7" s="3">
        <v>47.11</v>
      </c>
      <c r="Y7" s="3">
        <v>47.7</v>
      </c>
      <c r="Z7" s="3">
        <v>61</v>
      </c>
      <c r="AA7" s="3">
        <v>119.54</v>
      </c>
      <c r="AB7" s="3">
        <v>43.6</v>
      </c>
      <c r="AC7" s="66">
        <v>80.5</v>
      </c>
      <c r="AD7" s="81">
        <v>107</v>
      </c>
      <c r="AE7" s="81">
        <v>124.5</v>
      </c>
    </row>
    <row r="8" spans="1:31" x14ac:dyDescent="0.3">
      <c r="A8" s="101"/>
      <c r="B8" s="13">
        <v>6</v>
      </c>
      <c r="C8" s="6" t="s">
        <v>10</v>
      </c>
      <c r="D8" s="7"/>
      <c r="E8" s="7"/>
      <c r="F8" s="7">
        <v>5.63</v>
      </c>
      <c r="G8" s="7">
        <v>6.37</v>
      </c>
      <c r="H8" s="7">
        <v>6.8340449999999997</v>
      </c>
      <c r="I8" s="7">
        <v>8.0898350000000008</v>
      </c>
      <c r="J8" s="7">
        <v>9.4439209999999996</v>
      </c>
      <c r="K8" s="7">
        <v>11.076836</v>
      </c>
      <c r="L8" s="7">
        <v>14.138828</v>
      </c>
      <c r="M8" s="7">
        <v>14.592171</v>
      </c>
      <c r="N8" s="7">
        <v>17.766141000000001</v>
      </c>
      <c r="O8" s="7">
        <v>21.955808999999999</v>
      </c>
      <c r="P8" s="7">
        <v>23.625938000000001</v>
      </c>
      <c r="Q8" s="7">
        <v>22.252807000000001</v>
      </c>
      <c r="R8" s="7">
        <v>21.289947999999999</v>
      </c>
      <c r="S8" s="7">
        <v>10.425217</v>
      </c>
      <c r="T8" s="7">
        <v>5.5755020000000002</v>
      </c>
      <c r="U8" s="7">
        <v>6.4517819999999997</v>
      </c>
      <c r="V8" s="7">
        <v>10.935077</v>
      </c>
      <c r="W8" s="7">
        <v>18.321382</v>
      </c>
      <c r="X8" s="7">
        <v>30.51</v>
      </c>
      <c r="Y8" s="7">
        <v>33.36</v>
      </c>
      <c r="Z8" s="7">
        <v>31.25</v>
      </c>
      <c r="AA8" s="7">
        <v>32.92</v>
      </c>
      <c r="AB8" s="7">
        <v>-50.94</v>
      </c>
      <c r="AC8" s="67">
        <v>1.5</v>
      </c>
      <c r="AD8" s="81">
        <v>28</v>
      </c>
      <c r="AE8" s="81">
        <v>40.5</v>
      </c>
    </row>
    <row r="9" spans="1:31" x14ac:dyDescent="0.3">
      <c r="A9" s="101"/>
      <c r="B9" s="13">
        <v>11</v>
      </c>
      <c r="C9" s="1" t="s">
        <v>11</v>
      </c>
      <c r="D9" s="3"/>
      <c r="E9" s="3"/>
      <c r="F9" s="3">
        <v>-0.45450000000000002</v>
      </c>
      <c r="G9" s="3">
        <v>-0.19</v>
      </c>
      <c r="H9" s="3">
        <v>-0.54599900000000001</v>
      </c>
      <c r="I9" s="3">
        <v>-1.2939579999999999</v>
      </c>
      <c r="J9" s="3">
        <v>-1.28</v>
      </c>
      <c r="K9" s="3">
        <v>-1.23</v>
      </c>
      <c r="L9" s="3">
        <v>-1.1000000000000001</v>
      </c>
      <c r="M9" s="3">
        <v>-1</v>
      </c>
      <c r="N9" s="3">
        <v>-1.8</v>
      </c>
      <c r="O9" s="3">
        <v>-3.8</v>
      </c>
      <c r="P9" s="3">
        <v>-4.2</v>
      </c>
      <c r="Q9" s="3">
        <v>-1.9</v>
      </c>
      <c r="R9" s="3">
        <v>-1.45</v>
      </c>
      <c r="S9" s="3">
        <v>-1.2</v>
      </c>
      <c r="T9" s="3">
        <v>-2.16</v>
      </c>
      <c r="U9" s="3">
        <v>-2.2999999999999998</v>
      </c>
      <c r="V9" s="3">
        <v>-2.5</v>
      </c>
      <c r="W9" s="3">
        <v>-4.3</v>
      </c>
      <c r="X9" s="3">
        <v>-1.2</v>
      </c>
      <c r="Y9" s="3">
        <v>-5.4</v>
      </c>
      <c r="Z9" s="3">
        <v>-2.9889999999999999</v>
      </c>
      <c r="AA9" s="3">
        <v>-21.18</v>
      </c>
      <c r="AB9" s="3">
        <v>-19.89</v>
      </c>
      <c r="AC9" s="66">
        <v>-11</v>
      </c>
      <c r="AD9" s="81">
        <v>-13</v>
      </c>
      <c r="AE9" s="81">
        <v>-16</v>
      </c>
    </row>
    <row r="10" spans="1:31" x14ac:dyDescent="0.3">
      <c r="A10" s="101"/>
      <c r="B10" s="13">
        <v>12</v>
      </c>
      <c r="C10" s="6" t="s">
        <v>12</v>
      </c>
      <c r="D10" s="7"/>
      <c r="E10" s="7"/>
      <c r="F10" s="7">
        <v>4.68</v>
      </c>
      <c r="G10" s="7">
        <v>5.9</v>
      </c>
      <c r="H10" s="7">
        <v>6.0314490000000003</v>
      </c>
      <c r="I10" s="7">
        <v>6.8080629999999998</v>
      </c>
      <c r="J10" s="7">
        <v>8</v>
      </c>
      <c r="K10" s="7">
        <v>9.6</v>
      </c>
      <c r="L10" s="7">
        <v>13.1</v>
      </c>
      <c r="M10" s="7">
        <v>13.6</v>
      </c>
      <c r="N10" s="7">
        <v>15.9</v>
      </c>
      <c r="O10" s="7">
        <v>18.100000000000001</v>
      </c>
      <c r="P10" s="7">
        <v>14.213818</v>
      </c>
      <c r="Q10" s="7">
        <v>15.061489999999999</v>
      </c>
      <c r="R10" s="7">
        <v>19.8</v>
      </c>
      <c r="S10" s="7">
        <v>9.1999999999999993</v>
      </c>
      <c r="T10" s="7">
        <v>3.5</v>
      </c>
      <c r="U10" s="7">
        <v>4.2</v>
      </c>
      <c r="V10" s="7">
        <v>9</v>
      </c>
      <c r="W10" s="7">
        <v>14</v>
      </c>
      <c r="X10" s="7">
        <v>29.1</v>
      </c>
      <c r="Y10" s="7">
        <v>33.9</v>
      </c>
      <c r="Z10" s="7">
        <v>29.16</v>
      </c>
      <c r="AA10" s="7">
        <v>12.32</v>
      </c>
      <c r="AB10" s="7">
        <v>-69.5</v>
      </c>
      <c r="AC10" s="67">
        <v>-6</v>
      </c>
      <c r="AD10" s="81">
        <v>21</v>
      </c>
      <c r="AE10" s="81">
        <v>32.5</v>
      </c>
    </row>
    <row r="11" spans="1:31" x14ac:dyDescent="0.3">
      <c r="A11" s="101"/>
      <c r="B11" s="13">
        <v>13</v>
      </c>
      <c r="C11" s="1" t="s">
        <v>13</v>
      </c>
      <c r="D11" s="3"/>
      <c r="E11" s="3"/>
      <c r="F11" s="3">
        <v>0.8</v>
      </c>
      <c r="G11" s="3">
        <v>1.38</v>
      </c>
      <c r="H11" s="3">
        <v>1.002918</v>
      </c>
      <c r="I11" s="3">
        <v>1.2239850000000001</v>
      </c>
      <c r="J11" s="3">
        <v>1.5</v>
      </c>
      <c r="K11" s="3">
        <v>1.3</v>
      </c>
      <c r="L11" s="3">
        <v>4.1791650000000002</v>
      </c>
      <c r="M11" s="3">
        <v>4.0036550000000002</v>
      </c>
      <c r="N11" s="3">
        <v>2.41</v>
      </c>
      <c r="O11" s="3">
        <v>3.15</v>
      </c>
      <c r="P11" s="3">
        <v>3.55</v>
      </c>
      <c r="Q11" s="3">
        <v>4.29</v>
      </c>
      <c r="R11" s="3">
        <v>4.0199999999999996</v>
      </c>
      <c r="S11" s="3">
        <v>2.9</v>
      </c>
      <c r="T11" s="3">
        <v>1.1000000000000001</v>
      </c>
      <c r="U11" s="3">
        <v>0.9</v>
      </c>
      <c r="V11" s="3">
        <v>2.8</v>
      </c>
      <c r="W11" s="3">
        <v>3.28</v>
      </c>
      <c r="X11" s="3">
        <v>5.883</v>
      </c>
      <c r="Y11" s="3">
        <v>3.09</v>
      </c>
      <c r="Z11" s="3">
        <v>4.0999999999999996</v>
      </c>
      <c r="AA11" s="3">
        <v>-5.3220000000000001</v>
      </c>
      <c r="AB11" s="3">
        <v>-15.14</v>
      </c>
      <c r="AC11" s="94">
        <v>-1</v>
      </c>
      <c r="AD11" s="81">
        <v>3</v>
      </c>
      <c r="AE11" s="81">
        <v>6</v>
      </c>
    </row>
    <row r="12" spans="1:31" x14ac:dyDescent="0.3">
      <c r="A12" s="101"/>
      <c r="B12" s="13">
        <v>14</v>
      </c>
      <c r="C12" s="6" t="s">
        <v>105</v>
      </c>
      <c r="D12" s="7"/>
      <c r="E12" s="7"/>
      <c r="F12" s="7">
        <v>3.83</v>
      </c>
      <c r="G12" s="7">
        <v>4.6100000000000003</v>
      </c>
      <c r="H12" s="7">
        <v>5.356795</v>
      </c>
      <c r="I12" s="7">
        <v>5.5054660000000002</v>
      </c>
      <c r="J12" s="7">
        <v>8.115869</v>
      </c>
      <c r="K12" s="7">
        <v>6.0719620000000001</v>
      </c>
      <c r="L12" s="7">
        <v>8.3340449999999997</v>
      </c>
      <c r="M12" s="7">
        <v>9.1709619999999994</v>
      </c>
      <c r="N12" s="7">
        <v>10.9</v>
      </c>
      <c r="O12" s="7">
        <v>12.8</v>
      </c>
      <c r="P12" s="7">
        <v>13.7</v>
      </c>
      <c r="Q12" s="7">
        <v>14.6</v>
      </c>
      <c r="R12" s="7">
        <v>14.563886</v>
      </c>
      <c r="S12" s="7">
        <v>6.1251379999999997</v>
      </c>
      <c r="T12" s="7">
        <v>2.513579</v>
      </c>
      <c r="U12" s="7">
        <v>3.5764619999999998</v>
      </c>
      <c r="V12" s="7">
        <v>7.7560880000000001</v>
      </c>
      <c r="W12" s="7">
        <v>9.6630000000000003</v>
      </c>
      <c r="X12" s="7">
        <v>23.39</v>
      </c>
      <c r="Y12" s="7">
        <v>30.85</v>
      </c>
      <c r="Z12" s="7">
        <v>24.96</v>
      </c>
      <c r="AA12" s="7">
        <v>17.55</v>
      </c>
      <c r="AB12" s="7">
        <v>-55.2</v>
      </c>
      <c r="AC12" s="67">
        <v>-9.5</v>
      </c>
      <c r="AD12" s="81">
        <v>12</v>
      </c>
      <c r="AE12" s="81">
        <v>21</v>
      </c>
    </row>
    <row r="13" spans="1:31" x14ac:dyDescent="0.3">
      <c r="A13" s="101"/>
      <c r="B13" s="13">
        <v>2</v>
      </c>
      <c r="C13" s="1" t="s">
        <v>15</v>
      </c>
      <c r="D13" s="22"/>
      <c r="E13" s="22"/>
      <c r="F13" s="22">
        <v>2.9899999999999999E-2</v>
      </c>
      <c r="G13" s="22">
        <v>5.4899999999999997E-2</v>
      </c>
      <c r="H13" s="22">
        <v>5.5E-2</v>
      </c>
      <c r="I13" s="22">
        <v>5.5E-2</v>
      </c>
      <c r="J13" s="22">
        <v>5.5E-2</v>
      </c>
      <c r="K13" s="22">
        <v>5.5E-2</v>
      </c>
      <c r="L13" s="22">
        <v>5.5E-2</v>
      </c>
      <c r="M13" s="22">
        <v>5.5E-2</v>
      </c>
      <c r="N13" s="22">
        <v>5.5E-2</v>
      </c>
      <c r="O13" s="22">
        <v>5.5E-2</v>
      </c>
      <c r="P13" s="22">
        <v>5.5E-2</v>
      </c>
      <c r="Q13" s="22">
        <v>5.5E-2</v>
      </c>
      <c r="R13" s="22">
        <v>5.5E-2</v>
      </c>
      <c r="S13" s="22">
        <v>5.5E-2</v>
      </c>
      <c r="T13" s="22">
        <v>5.5E-2</v>
      </c>
      <c r="U13" s="22">
        <v>5.5E-2</v>
      </c>
      <c r="V13" s="22">
        <v>5.5E-2</v>
      </c>
      <c r="W13" s="22">
        <v>0.1</v>
      </c>
      <c r="X13" s="22">
        <v>0.1</v>
      </c>
      <c r="Y13" s="22">
        <v>0.1</v>
      </c>
      <c r="Z13" s="22">
        <v>0.1</v>
      </c>
      <c r="AA13" s="22">
        <v>0.1</v>
      </c>
      <c r="AB13" s="22">
        <v>0</v>
      </c>
      <c r="AC13" s="68">
        <v>0</v>
      </c>
      <c r="AD13" s="81">
        <v>0.02</v>
      </c>
      <c r="AE13" s="81">
        <v>7.0000000000000007E-2</v>
      </c>
    </row>
    <row r="14" spans="1:31" x14ac:dyDescent="0.3">
      <c r="A14" s="102" t="s">
        <v>14</v>
      </c>
      <c r="B14" s="14">
        <v>8</v>
      </c>
      <c r="C14" s="6" t="s">
        <v>16</v>
      </c>
      <c r="D14" s="7"/>
      <c r="E14" s="7"/>
      <c r="F14" s="7">
        <v>-1.28461</v>
      </c>
      <c r="G14" s="7">
        <v>0.24515999999999999</v>
      </c>
      <c r="H14" s="7">
        <v>1.0135099999999999</v>
      </c>
      <c r="I14" s="7">
        <v>4.4702630000000001</v>
      </c>
      <c r="J14" s="7">
        <v>2.4285239999999999</v>
      </c>
      <c r="K14" s="7">
        <v>1.8050489999999999</v>
      </c>
      <c r="L14" s="7">
        <v>5.801571</v>
      </c>
      <c r="M14" s="7">
        <v>5.3401820000000004</v>
      </c>
      <c r="N14" s="7">
        <v>6.4148399999999999</v>
      </c>
      <c r="O14" s="7">
        <v>12.691939</v>
      </c>
      <c r="P14" s="7">
        <v>7.3327309999999999</v>
      </c>
      <c r="Q14" s="7">
        <v>20.649467999999999</v>
      </c>
      <c r="R14" s="7">
        <v>29.361466</v>
      </c>
      <c r="S14" s="7">
        <v>29.316068999999999</v>
      </c>
      <c r="T14" s="7">
        <v>26.74879</v>
      </c>
      <c r="U14" s="7">
        <v>22.166785000000001</v>
      </c>
      <c r="V14" s="7">
        <v>13.566782</v>
      </c>
      <c r="W14" s="7">
        <v>14.471081999999999</v>
      </c>
      <c r="X14" s="7">
        <v>46.6</v>
      </c>
      <c r="Y14" s="7">
        <v>40.1</v>
      </c>
      <c r="Z14" s="7">
        <v>41.8</v>
      </c>
      <c r="AA14" s="7">
        <v>51.3</v>
      </c>
      <c r="AB14" s="7">
        <v>52.5</v>
      </c>
      <c r="AC14" s="7">
        <v>73</v>
      </c>
      <c r="AD14" s="1"/>
      <c r="AE14" s="1"/>
    </row>
    <row r="15" spans="1:31" x14ac:dyDescent="0.3">
      <c r="A15" s="103"/>
      <c r="B15" s="14">
        <v>7</v>
      </c>
      <c r="C15" s="1" t="s">
        <v>17</v>
      </c>
      <c r="D15" s="3"/>
      <c r="E15" s="3"/>
      <c r="F15" s="3">
        <v>3.1</v>
      </c>
      <c r="G15" s="3">
        <v>4.24</v>
      </c>
      <c r="H15" s="3">
        <v>14.958</v>
      </c>
      <c r="I15" s="3">
        <v>19.86</v>
      </c>
      <c r="J15" s="3">
        <v>28.971900000000002</v>
      </c>
      <c r="K15" s="3">
        <v>28.246500000000001</v>
      </c>
      <c r="L15" s="3">
        <v>25.95</v>
      </c>
      <c r="M15" s="3">
        <v>18.52</v>
      </c>
      <c r="N15" s="3">
        <v>80.290000000000006</v>
      </c>
      <c r="O15" s="3">
        <v>70.900000000000006</v>
      </c>
      <c r="P15" s="3">
        <v>65.924222999999998</v>
      </c>
      <c r="Q15" s="3">
        <v>61.4</v>
      </c>
      <c r="R15" s="3">
        <v>61.572000000000003</v>
      </c>
      <c r="S15" s="3">
        <v>57.645000000000003</v>
      </c>
      <c r="T15" s="3">
        <v>54.838614</v>
      </c>
      <c r="U15" s="3">
        <v>46.673672000000003</v>
      </c>
      <c r="V15" s="3">
        <v>38.799999999999997</v>
      </c>
      <c r="W15" s="3">
        <v>43.435000000000002</v>
      </c>
      <c r="X15" s="3">
        <v>166.792</v>
      </c>
      <c r="Y15" s="3">
        <v>141.01</v>
      </c>
      <c r="Z15" s="3">
        <v>138.5</v>
      </c>
      <c r="AA15" s="3">
        <v>463</v>
      </c>
      <c r="AB15" s="3">
        <v>495.4</v>
      </c>
      <c r="AC15" s="3">
        <v>503.7</v>
      </c>
      <c r="AD15" s="1"/>
      <c r="AE15" s="1"/>
    </row>
    <row r="16" spans="1:31" x14ac:dyDescent="0.3">
      <c r="A16" s="103"/>
      <c r="B16" s="14">
        <v>9</v>
      </c>
      <c r="C16" s="6" t="s">
        <v>92</v>
      </c>
      <c r="D16" s="7"/>
      <c r="E16" s="7"/>
      <c r="F16" s="7">
        <v>0.43464000000000003</v>
      </c>
      <c r="G16" s="7">
        <v>1.13486</v>
      </c>
      <c r="H16" s="7">
        <v>0.50539199999999995</v>
      </c>
      <c r="I16" s="7">
        <v>0.58400399999999997</v>
      </c>
      <c r="J16" s="7">
        <v>0.718163</v>
      </c>
      <c r="K16" s="7">
        <v>1.4331339999999999</v>
      </c>
      <c r="L16" s="7">
        <v>1.5913390000000001</v>
      </c>
      <c r="M16" s="7">
        <v>1.5641370000000001</v>
      </c>
      <c r="N16" s="7">
        <v>4.1582879999999998</v>
      </c>
      <c r="O16" s="7">
        <v>4.6421939999999999</v>
      </c>
      <c r="P16" s="7">
        <v>4.9970290000000004</v>
      </c>
      <c r="Q16" s="7">
        <v>3.4776039999999999</v>
      </c>
      <c r="R16" s="7">
        <v>4.8707719999999997</v>
      </c>
      <c r="S16" s="7">
        <v>4.4499909999999998</v>
      </c>
      <c r="T16" s="7">
        <v>4.6805450000000004</v>
      </c>
      <c r="U16" s="7">
        <v>4.9571610000000002</v>
      </c>
      <c r="V16" s="7">
        <v>4.9768860000000004</v>
      </c>
      <c r="W16" s="7">
        <v>5.1216869999999997</v>
      </c>
      <c r="X16" s="7">
        <v>0.333399</v>
      </c>
      <c r="Y16" s="7">
        <v>0.7</v>
      </c>
      <c r="Z16" s="7">
        <v>0.3</v>
      </c>
      <c r="AA16" s="7">
        <v>0.3</v>
      </c>
      <c r="AB16" s="7">
        <v>0</v>
      </c>
      <c r="AC16" s="7">
        <v>0</v>
      </c>
      <c r="AD16" s="1"/>
      <c r="AE16" s="1"/>
    </row>
    <row r="17" spans="1:31" x14ac:dyDescent="0.3">
      <c r="A17" s="103"/>
      <c r="B17" s="14">
        <v>10</v>
      </c>
      <c r="C17" s="1" t="s">
        <v>18</v>
      </c>
      <c r="D17" s="3"/>
      <c r="E17" s="3"/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1"/>
      <c r="AE17" s="1"/>
    </row>
    <row r="18" spans="1:31" x14ac:dyDescent="0.3">
      <c r="A18" s="103"/>
      <c r="B18" s="14">
        <v>15</v>
      </c>
      <c r="C18" s="6" t="s">
        <v>19</v>
      </c>
      <c r="D18" s="7"/>
      <c r="E18" s="7"/>
      <c r="F18" s="7">
        <v>4.7290700000000001</v>
      </c>
      <c r="G18" s="7">
        <v>5.6235379999999999</v>
      </c>
      <c r="H18" s="7">
        <v>41.668393999999999</v>
      </c>
      <c r="I18" s="7">
        <v>54.510590999999998</v>
      </c>
      <c r="J18" s="7">
        <v>70.415813999999997</v>
      </c>
      <c r="K18" s="7">
        <v>71.691233999999994</v>
      </c>
      <c r="L18" s="7">
        <v>67.982692</v>
      </c>
      <c r="M18" s="7">
        <v>63.568032000000002</v>
      </c>
      <c r="N18" s="7">
        <v>131.54360700000001</v>
      </c>
      <c r="O18" s="7">
        <v>138.40043600000001</v>
      </c>
      <c r="P18" s="7">
        <v>129.54996600000001</v>
      </c>
      <c r="Q18" s="7">
        <v>126.82577999999999</v>
      </c>
      <c r="R18" s="7">
        <v>122.88499400000001</v>
      </c>
      <c r="S18" s="7">
        <v>112.904374</v>
      </c>
      <c r="T18" s="7">
        <v>107.38318200000001</v>
      </c>
      <c r="U18" s="7">
        <v>98.882644999999997</v>
      </c>
      <c r="V18" s="7">
        <v>98.2</v>
      </c>
      <c r="W18" s="7">
        <v>111.4</v>
      </c>
      <c r="X18" s="7">
        <v>269.60000000000002</v>
      </c>
      <c r="Y18" s="7">
        <v>241.9</v>
      </c>
      <c r="Z18" s="7">
        <v>241.4</v>
      </c>
      <c r="AA18" s="7">
        <v>563.4</v>
      </c>
      <c r="AB18" s="7">
        <v>572.5</v>
      </c>
      <c r="AC18" s="7">
        <v>585.70000000000005</v>
      </c>
      <c r="AD18" s="1"/>
      <c r="AE18" s="1"/>
    </row>
    <row r="19" spans="1:31" x14ac:dyDescent="0.3">
      <c r="A19" s="103"/>
      <c r="B19" s="14">
        <v>18</v>
      </c>
      <c r="C19" s="1" t="s">
        <v>21</v>
      </c>
      <c r="D19" s="3"/>
      <c r="E19" s="3"/>
      <c r="F19" s="3">
        <v>13.97</v>
      </c>
      <c r="G19" s="3">
        <v>17.79</v>
      </c>
      <c r="H19" s="3">
        <v>25.307255000000001</v>
      </c>
      <c r="I19" s="3">
        <v>35.869602</v>
      </c>
      <c r="J19" s="3">
        <v>47.036228999999999</v>
      </c>
      <c r="K19" s="3">
        <v>31.313600999999998</v>
      </c>
      <c r="L19" s="3">
        <v>44.071080000000002</v>
      </c>
      <c r="M19" s="3">
        <v>43.437099000000003</v>
      </c>
      <c r="N19" s="3">
        <v>86.969076000000001</v>
      </c>
      <c r="O19" s="3">
        <v>85.440297000000001</v>
      </c>
      <c r="P19" s="3">
        <v>88.428329000000005</v>
      </c>
      <c r="Q19" s="3">
        <v>83.801570999999996</v>
      </c>
      <c r="R19" s="3">
        <v>65.398409000000001</v>
      </c>
      <c r="S19" s="3">
        <v>57.298183000000002</v>
      </c>
      <c r="T19" s="3">
        <v>59.754479000000003</v>
      </c>
      <c r="U19" s="3">
        <v>65.106993000000003</v>
      </c>
      <c r="V19" s="3">
        <v>61.2</v>
      </c>
      <c r="W19" s="3">
        <v>69.599999999999994</v>
      </c>
      <c r="X19" s="3">
        <v>122.8</v>
      </c>
      <c r="Y19" s="3">
        <v>119.4</v>
      </c>
      <c r="Z19" s="3">
        <v>147.80000000000001</v>
      </c>
      <c r="AA19" s="3">
        <v>193.2</v>
      </c>
      <c r="AB19" s="3">
        <v>168.2</v>
      </c>
      <c r="AC19" s="3">
        <v>192.7</v>
      </c>
      <c r="AD19" s="1"/>
      <c r="AE19" s="1"/>
    </row>
    <row r="20" spans="1:31" x14ac:dyDescent="0.3">
      <c r="A20" s="103"/>
      <c r="B20" s="14">
        <v>17</v>
      </c>
      <c r="C20" s="6" t="s">
        <v>22</v>
      </c>
      <c r="D20" s="7"/>
      <c r="E20" s="7"/>
      <c r="F20" s="7">
        <v>3.52</v>
      </c>
      <c r="G20" s="7">
        <v>6.38</v>
      </c>
      <c r="H20" s="7">
        <v>8.6999999999999993</v>
      </c>
      <c r="I20" s="7">
        <v>13.43</v>
      </c>
      <c r="J20" s="7">
        <v>14.45</v>
      </c>
      <c r="K20" s="7">
        <v>16.399999999999999</v>
      </c>
      <c r="L20" s="7">
        <v>20.312826000000001</v>
      </c>
      <c r="M20" s="7">
        <v>18.294820000000001</v>
      </c>
      <c r="N20" s="7">
        <v>24.893743000000001</v>
      </c>
      <c r="O20" s="7">
        <v>27.425049000000001</v>
      </c>
      <c r="P20" s="7">
        <v>28.626069000000001</v>
      </c>
      <c r="Q20" s="7">
        <v>37.809894</v>
      </c>
      <c r="R20" s="7">
        <v>47.287016000000001</v>
      </c>
      <c r="S20" s="7">
        <v>41.786017999999999</v>
      </c>
      <c r="T20" s="7">
        <v>41.657708999999997</v>
      </c>
      <c r="U20" s="7">
        <v>35.918497000000002</v>
      </c>
      <c r="V20" s="7">
        <v>28.5</v>
      </c>
      <c r="W20" s="7">
        <v>33.1</v>
      </c>
      <c r="X20" s="7">
        <v>85.307302000000007</v>
      </c>
      <c r="Y20" s="7">
        <v>77.025176999999999</v>
      </c>
      <c r="Z20" s="7">
        <v>84.6</v>
      </c>
      <c r="AA20" s="7">
        <v>96.5</v>
      </c>
      <c r="AB20" s="7">
        <v>89.7</v>
      </c>
      <c r="AC20" s="7">
        <v>112.1</v>
      </c>
      <c r="AD20" s="1"/>
      <c r="AE20" s="1"/>
    </row>
    <row r="21" spans="1:31" x14ac:dyDescent="0.3">
      <c r="A21" s="103"/>
      <c r="B21" s="14">
        <v>19</v>
      </c>
      <c r="C21" s="1" t="s">
        <v>88</v>
      </c>
      <c r="D21" s="3"/>
      <c r="E21" s="3"/>
      <c r="F21" s="3">
        <v>0.745</v>
      </c>
      <c r="G21" s="3">
        <v>0.82879999999999998</v>
      </c>
      <c r="H21" s="3">
        <v>0.773895</v>
      </c>
      <c r="I21" s="3">
        <v>1.720772</v>
      </c>
      <c r="J21" s="3">
        <v>2.21333</v>
      </c>
      <c r="K21" s="3">
        <v>2.570039</v>
      </c>
      <c r="L21" s="3">
        <v>2.6577380000000002</v>
      </c>
      <c r="M21" s="3">
        <v>2.7664759999999999</v>
      </c>
      <c r="N21" s="3">
        <v>3.5361370000000001</v>
      </c>
      <c r="O21" s="3">
        <v>4.0767230000000003</v>
      </c>
      <c r="P21" s="3">
        <v>4.1276330000000003</v>
      </c>
      <c r="Q21" s="3">
        <v>4.1707210000000003</v>
      </c>
      <c r="R21" s="3">
        <v>4.1691339999999997</v>
      </c>
      <c r="S21" s="3">
        <v>3.5901040000000002</v>
      </c>
      <c r="T21" s="3">
        <v>3.5197880000000001</v>
      </c>
      <c r="U21" s="3">
        <v>5.0317020000000001</v>
      </c>
      <c r="V21" s="3">
        <v>5.9373269999999998</v>
      </c>
      <c r="W21" s="3">
        <v>7.7110709999999996</v>
      </c>
      <c r="X21" s="3">
        <v>11.547211000000001</v>
      </c>
      <c r="Y21" s="3">
        <v>12.089907</v>
      </c>
      <c r="Z21" s="3">
        <v>11.6</v>
      </c>
      <c r="AA21" s="3">
        <v>12</v>
      </c>
      <c r="AB21" s="3">
        <v>11.6</v>
      </c>
      <c r="AC21" s="3">
        <v>13.5</v>
      </c>
      <c r="AD21" s="1"/>
      <c r="AE21" s="1"/>
    </row>
    <row r="22" spans="1:31" x14ac:dyDescent="0.3">
      <c r="A22" s="103"/>
      <c r="B22" s="14">
        <v>20</v>
      </c>
      <c r="C22" s="6" t="s">
        <v>87</v>
      </c>
      <c r="D22" s="7"/>
      <c r="E22" s="7"/>
      <c r="F22" s="7">
        <v>0.14724499999999999</v>
      </c>
      <c r="G22" s="7">
        <v>0.8</v>
      </c>
      <c r="H22" s="7">
        <v>1.4925029999999999</v>
      </c>
      <c r="I22" s="7">
        <v>1.9425699999999999</v>
      </c>
      <c r="J22" s="7">
        <v>2.3622839999999998</v>
      </c>
      <c r="K22" s="7">
        <v>3.0617130000000001</v>
      </c>
      <c r="L22" s="7">
        <v>3.9803280000000001</v>
      </c>
      <c r="M22" s="7">
        <v>2.4322789999999999</v>
      </c>
      <c r="N22" s="7">
        <v>4.1227619999999998</v>
      </c>
      <c r="O22" s="7">
        <v>4.6714399999999996</v>
      </c>
      <c r="P22" s="7">
        <v>5.2797229999999997</v>
      </c>
      <c r="Q22" s="7">
        <v>4.2884630000000001</v>
      </c>
      <c r="R22" s="7">
        <v>4.7943610000000003</v>
      </c>
      <c r="S22" s="7">
        <v>4.1895439999999997</v>
      </c>
      <c r="T22" s="7">
        <v>4.9065789999999998</v>
      </c>
      <c r="U22" s="7">
        <v>3.9307699999999999</v>
      </c>
      <c r="V22" s="7">
        <v>3.4</v>
      </c>
      <c r="W22" s="7">
        <v>3.8</v>
      </c>
      <c r="X22" s="7">
        <v>12.1</v>
      </c>
      <c r="Y22" s="7">
        <v>9.9</v>
      </c>
      <c r="Z22" s="7">
        <v>13.5</v>
      </c>
      <c r="AA22" s="7">
        <v>14.4</v>
      </c>
      <c r="AB22" s="7">
        <v>6.6</v>
      </c>
      <c r="AC22" s="7">
        <v>5.6</v>
      </c>
      <c r="AD22" s="1"/>
      <c r="AE22" s="1"/>
    </row>
    <row r="23" spans="1:31" x14ac:dyDescent="0.3">
      <c r="A23" s="103"/>
      <c r="B23" s="14">
        <v>16</v>
      </c>
      <c r="C23" s="1" t="s">
        <v>20</v>
      </c>
      <c r="D23" s="3"/>
      <c r="E23" s="3"/>
      <c r="F23" s="3">
        <v>18.87</v>
      </c>
      <c r="G23" s="3">
        <v>22.5</v>
      </c>
      <c r="H23" s="3">
        <v>26.342859000000001</v>
      </c>
      <c r="I23" s="3">
        <v>30.739995</v>
      </c>
      <c r="J23" s="3">
        <v>36.235156000000003</v>
      </c>
      <c r="K23" s="3">
        <v>41.011206999999999</v>
      </c>
      <c r="L23" s="3">
        <v>42.872166</v>
      </c>
      <c r="M23" s="3">
        <v>50.693015000000003</v>
      </c>
      <c r="N23" s="3">
        <v>60.090147000000002</v>
      </c>
      <c r="O23" s="3">
        <v>69.743534999999994</v>
      </c>
      <c r="P23" s="3">
        <v>82.931010999999998</v>
      </c>
      <c r="Q23" s="3">
        <v>95.322554999999994</v>
      </c>
      <c r="R23" s="3">
        <v>109.332611</v>
      </c>
      <c r="S23" s="3">
        <v>114.845206</v>
      </c>
      <c r="T23" s="3">
        <v>116.59933100000001</v>
      </c>
      <c r="U23" s="3">
        <v>119.440096</v>
      </c>
      <c r="V23" s="3">
        <v>121.3</v>
      </c>
      <c r="W23" s="3">
        <v>129.9</v>
      </c>
      <c r="X23" s="3">
        <v>151.6</v>
      </c>
      <c r="Y23" s="3">
        <v>187.9</v>
      </c>
      <c r="Z23" s="3">
        <v>202.8</v>
      </c>
      <c r="AA23" s="3">
        <v>213.9</v>
      </c>
      <c r="AB23" s="3">
        <v>156.30000000000001</v>
      </c>
      <c r="AC23" s="3">
        <v>137</v>
      </c>
      <c r="AD23" s="1"/>
      <c r="AE23" s="1"/>
    </row>
    <row r="25" spans="1:31" x14ac:dyDescent="0.3">
      <c r="A25" s="9" t="s">
        <v>71</v>
      </c>
      <c r="B25" s="8"/>
      <c r="C25" s="9" t="s">
        <v>26</v>
      </c>
      <c r="D25" s="8">
        <v>96</v>
      </c>
      <c r="E25" s="8">
        <v>97</v>
      </c>
      <c r="F25" s="8">
        <v>98</v>
      </c>
      <c r="G25" s="8">
        <v>99</v>
      </c>
      <c r="H25" s="8">
        <v>2000</v>
      </c>
      <c r="I25" s="8">
        <v>1</v>
      </c>
      <c r="J25" s="8">
        <v>2</v>
      </c>
      <c r="K25" s="8">
        <v>3</v>
      </c>
      <c r="L25" s="8">
        <v>4</v>
      </c>
      <c r="M25" s="8">
        <v>5</v>
      </c>
      <c r="N25" s="8">
        <v>6</v>
      </c>
      <c r="O25" s="8">
        <v>7</v>
      </c>
      <c r="P25" s="8">
        <v>8</v>
      </c>
      <c r="Q25" s="8">
        <v>9</v>
      </c>
      <c r="R25" s="8">
        <v>10</v>
      </c>
      <c r="S25" s="8">
        <v>11</v>
      </c>
      <c r="T25" s="8">
        <v>12</v>
      </c>
      <c r="U25" s="8">
        <v>13</v>
      </c>
      <c r="V25" s="8">
        <v>14</v>
      </c>
      <c r="W25" s="8">
        <v>15</v>
      </c>
      <c r="X25" s="8">
        <v>16</v>
      </c>
      <c r="Y25" s="8">
        <v>17</v>
      </c>
      <c r="Z25" s="8">
        <v>18</v>
      </c>
      <c r="AA25" s="8">
        <v>19</v>
      </c>
      <c r="AB25" s="8">
        <v>20</v>
      </c>
      <c r="AC25" s="8" t="s">
        <v>3</v>
      </c>
      <c r="AD25" s="8" t="s">
        <v>94</v>
      </c>
      <c r="AE25" s="8" t="s">
        <v>116</v>
      </c>
    </row>
    <row r="26" spans="1:31" x14ac:dyDescent="0.3">
      <c r="A26" s="6" t="s">
        <v>65</v>
      </c>
      <c r="B26" s="17" t="s">
        <v>27</v>
      </c>
      <c r="C26" s="6" t="s">
        <v>85</v>
      </c>
      <c r="D26" s="7">
        <f t="shared" ref="D26:Z26" si="0">D4*D5</f>
        <v>0</v>
      </c>
      <c r="E26" s="7">
        <f t="shared" si="0"/>
        <v>39.9</v>
      </c>
      <c r="F26" s="7">
        <f t="shared" si="0"/>
        <v>125.79</v>
      </c>
      <c r="G26" s="7">
        <f t="shared" si="0"/>
        <v>63.42</v>
      </c>
      <c r="H26" s="7">
        <f t="shared" si="0"/>
        <v>83.88</v>
      </c>
      <c r="I26" s="7">
        <f t="shared" si="0"/>
        <v>74.88</v>
      </c>
      <c r="J26" s="7">
        <f t="shared" si="0"/>
        <v>69.84</v>
      </c>
      <c r="K26" s="7">
        <f t="shared" si="0"/>
        <v>78.12</v>
      </c>
      <c r="L26" s="7">
        <f t="shared" si="0"/>
        <v>97.92</v>
      </c>
      <c r="M26" s="7">
        <f t="shared" si="0"/>
        <v>113.01330356999999</v>
      </c>
      <c r="N26" s="7">
        <f t="shared" si="0"/>
        <v>178.85999999999999</v>
      </c>
      <c r="O26" s="7">
        <f t="shared" si="0"/>
        <v>210.21</v>
      </c>
      <c r="P26" s="7">
        <f t="shared" si="0"/>
        <v>126.39</v>
      </c>
      <c r="Q26" s="7">
        <f t="shared" si="0"/>
        <v>168.96</v>
      </c>
      <c r="R26" s="7">
        <f t="shared" si="0"/>
        <v>148.5</v>
      </c>
      <c r="S26" s="7">
        <f t="shared" si="0"/>
        <v>74.58</v>
      </c>
      <c r="T26" s="7">
        <f t="shared" si="0"/>
        <v>73.39200000000001</v>
      </c>
      <c r="U26" s="7">
        <f t="shared" si="0"/>
        <v>113.52</v>
      </c>
      <c r="V26" s="7">
        <f t="shared" si="0"/>
        <v>124.74</v>
      </c>
      <c r="W26" s="7">
        <f t="shared" si="0"/>
        <v>163.35</v>
      </c>
      <c r="X26" s="7">
        <f t="shared" si="0"/>
        <v>269.89318702499997</v>
      </c>
      <c r="Y26" s="7">
        <f t="shared" si="0"/>
        <v>328.21275367200002</v>
      </c>
      <c r="Z26" s="7">
        <f t="shared" si="0"/>
        <v>252.8</v>
      </c>
      <c r="AA26" s="7">
        <f t="shared" ref="AA26:AE26" si="1">AA4*AA5</f>
        <v>288</v>
      </c>
      <c r="AB26" s="7">
        <f t="shared" si="1"/>
        <v>194.4</v>
      </c>
      <c r="AC26" s="7">
        <f t="shared" si="1"/>
        <v>219.63199999999998</v>
      </c>
      <c r="AD26" s="7">
        <f t="shared" si="1"/>
        <v>211.15200000000002</v>
      </c>
      <c r="AE26" s="7">
        <f t="shared" si="1"/>
        <v>211.15200000000002</v>
      </c>
    </row>
    <row r="27" spans="1:31" x14ac:dyDescent="0.3">
      <c r="A27" s="1" t="s">
        <v>66</v>
      </c>
      <c r="B27" s="2" t="s">
        <v>28</v>
      </c>
      <c r="C27" s="1" t="s">
        <v>47</v>
      </c>
      <c r="D27" s="30" t="e">
        <f t="shared" ref="D27:Z27" si="2">D26/D6</f>
        <v>#DIV/0!</v>
      </c>
      <c r="E27" s="30" t="e">
        <f t="shared" si="2"/>
        <v>#DIV/0!</v>
      </c>
      <c r="F27" s="30">
        <f t="shared" si="2"/>
        <v>1.9154865235267247</v>
      </c>
      <c r="G27" s="30">
        <f t="shared" si="2"/>
        <v>0.84379989356040452</v>
      </c>
      <c r="H27" s="30">
        <f t="shared" si="2"/>
        <v>1.0198241510942669</v>
      </c>
      <c r="I27" s="30">
        <f t="shared" si="2"/>
        <v>0.77416520555218293</v>
      </c>
      <c r="J27" s="30">
        <f t="shared" si="2"/>
        <v>0.57905646297985247</v>
      </c>
      <c r="K27" s="30">
        <f t="shared" si="2"/>
        <v>0.59588100686498857</v>
      </c>
      <c r="L27" s="30">
        <f t="shared" si="2"/>
        <v>0.70243902439024386</v>
      </c>
      <c r="M27" s="30">
        <f t="shared" si="2"/>
        <v>0.79363274978932574</v>
      </c>
      <c r="N27" s="30">
        <f t="shared" si="2"/>
        <v>1.0545990628219284</v>
      </c>
      <c r="O27" s="30">
        <f t="shared" si="2"/>
        <v>1.0202576299761312</v>
      </c>
      <c r="P27" s="30">
        <f t="shared" si="2"/>
        <v>0.57957790596196002</v>
      </c>
      <c r="Q27" s="30">
        <f t="shared" si="2"/>
        <v>0.79971013536797975</v>
      </c>
      <c r="R27" s="30">
        <f t="shared" si="2"/>
        <v>0.68772165969549226</v>
      </c>
      <c r="S27" s="30">
        <f t="shared" si="2"/>
        <v>0.37636507278833897</v>
      </c>
      <c r="T27" s="30">
        <f t="shared" si="2"/>
        <v>0.42155027353180252</v>
      </c>
      <c r="U27" s="30">
        <f t="shared" si="2"/>
        <v>0.65126246212837358</v>
      </c>
      <c r="V27" s="30">
        <f t="shared" si="2"/>
        <v>0.65777329817439956</v>
      </c>
      <c r="W27" s="30">
        <f t="shared" si="2"/>
        <v>0.75646231025293731</v>
      </c>
      <c r="X27" s="30">
        <f t="shared" si="2"/>
        <v>0.96763655178904329</v>
      </c>
      <c r="Y27" s="30">
        <f t="shared" si="2"/>
        <v>0.7164496598458886</v>
      </c>
      <c r="Z27" s="30">
        <f t="shared" si="2"/>
        <v>0.54952937851879236</v>
      </c>
      <c r="AA27" s="30">
        <f t="shared" ref="AA27:AE27" si="3">AA26/AA6</f>
        <v>0.59780803719694453</v>
      </c>
      <c r="AB27" s="30">
        <f t="shared" si="3"/>
        <v>0.6758448060075094</v>
      </c>
      <c r="AC27" s="30">
        <f t="shared" si="3"/>
        <v>0.60755739972337475</v>
      </c>
      <c r="AD27" s="30">
        <f t="shared" si="3"/>
        <v>0.45803036876355752</v>
      </c>
      <c r="AE27" s="30">
        <f t="shared" si="3"/>
        <v>0.41442983316977433</v>
      </c>
    </row>
    <row r="28" spans="1:31" x14ac:dyDescent="0.3">
      <c r="A28" s="6" t="s">
        <v>67</v>
      </c>
      <c r="B28" s="17" t="s">
        <v>29</v>
      </c>
      <c r="C28" s="6" t="s">
        <v>48</v>
      </c>
      <c r="D28" s="29" t="e">
        <f t="shared" ref="D28:AE28" si="4">D26/D7</f>
        <v>#DIV/0!</v>
      </c>
      <c r="E28" s="29" t="e">
        <f t="shared" si="4"/>
        <v>#DIV/0!</v>
      </c>
      <c r="F28" s="29">
        <f t="shared" si="4"/>
        <v>12.553892215568863</v>
      </c>
      <c r="G28" s="29">
        <f t="shared" si="4"/>
        <v>5.3928571428571432</v>
      </c>
      <c r="H28" s="29">
        <f t="shared" si="4"/>
        <v>6.5971724650946815</v>
      </c>
      <c r="I28" s="29">
        <f t="shared" si="4"/>
        <v>4.8340865074241446</v>
      </c>
      <c r="J28" s="29">
        <f t="shared" si="4"/>
        <v>3.9235955056179774</v>
      </c>
      <c r="K28" s="29">
        <f t="shared" si="4"/>
        <v>3.9654822335025384</v>
      </c>
      <c r="L28" s="29">
        <f t="shared" si="4"/>
        <v>4.2206896551724142</v>
      </c>
      <c r="M28" s="29">
        <f t="shared" si="4"/>
        <v>4.6893486958506214</v>
      </c>
      <c r="N28" s="29">
        <f t="shared" si="4"/>
        <v>6.4338129496402869</v>
      </c>
      <c r="O28" s="29">
        <f t="shared" si="4"/>
        <v>6.4879629629629632</v>
      </c>
      <c r="P28" s="29">
        <f t="shared" si="4"/>
        <v>3.6111428571428572</v>
      </c>
      <c r="Q28" s="29">
        <f t="shared" si="4"/>
        <v>4.9694117647058826</v>
      </c>
      <c r="R28" s="29">
        <f t="shared" si="4"/>
        <v>4.5975232198142422</v>
      </c>
      <c r="S28" s="29">
        <f t="shared" si="4"/>
        <v>3.2008583690987122</v>
      </c>
      <c r="T28" s="29">
        <f t="shared" si="4"/>
        <v>4.2919298245614037</v>
      </c>
      <c r="U28" s="29">
        <f t="shared" si="4"/>
        <v>6.1032258064516123</v>
      </c>
      <c r="V28" s="29">
        <f t="shared" si="4"/>
        <v>4.9110236220472441</v>
      </c>
      <c r="W28" s="29">
        <f t="shared" si="4"/>
        <v>4.9954128440366965</v>
      </c>
      <c r="X28" s="29">
        <f t="shared" si="4"/>
        <v>5.7289999368499256</v>
      </c>
      <c r="Y28" s="29">
        <f t="shared" si="4"/>
        <v>6.8807705172327047</v>
      </c>
      <c r="Z28" s="29">
        <f t="shared" si="4"/>
        <v>4.1442622950819672</v>
      </c>
      <c r="AA28" s="29">
        <f t="shared" si="4"/>
        <v>2.4092354023757738</v>
      </c>
      <c r="AB28" s="29">
        <f t="shared" si="4"/>
        <v>4.4587155963302756</v>
      </c>
      <c r="AC28" s="29">
        <f t="shared" si="4"/>
        <v>2.728347826086956</v>
      </c>
      <c r="AD28" s="29">
        <f t="shared" si="4"/>
        <v>1.9733831775700936</v>
      </c>
      <c r="AE28" s="29">
        <f t="shared" si="4"/>
        <v>1.6960000000000002</v>
      </c>
    </row>
    <row r="29" spans="1:31" x14ac:dyDescent="0.3">
      <c r="A29" s="15" t="s">
        <v>68</v>
      </c>
      <c r="B29" s="2" t="s">
        <v>30</v>
      </c>
      <c r="C29" s="1" t="s">
        <v>49</v>
      </c>
      <c r="D29" s="3">
        <f t="shared" ref="D29:AC29" si="5">D15-D14</f>
        <v>0</v>
      </c>
      <c r="E29" s="3">
        <f t="shared" si="5"/>
        <v>0</v>
      </c>
      <c r="F29" s="3">
        <f t="shared" si="5"/>
        <v>4.3846100000000003</v>
      </c>
      <c r="G29" s="3">
        <f t="shared" si="5"/>
        <v>3.9948400000000004</v>
      </c>
      <c r="H29" s="3">
        <f t="shared" si="5"/>
        <v>13.94449</v>
      </c>
      <c r="I29" s="3">
        <f t="shared" si="5"/>
        <v>15.389737</v>
      </c>
      <c r="J29" s="3">
        <f t="shared" si="5"/>
        <v>26.543376000000002</v>
      </c>
      <c r="K29" s="3">
        <f t="shared" si="5"/>
        <v>26.441451000000001</v>
      </c>
      <c r="L29" s="3">
        <f t="shared" si="5"/>
        <v>20.148429</v>
      </c>
      <c r="M29" s="3">
        <f t="shared" si="5"/>
        <v>13.179817999999999</v>
      </c>
      <c r="N29" s="3">
        <f t="shared" si="5"/>
        <v>73.875160000000008</v>
      </c>
      <c r="O29" s="3">
        <f t="shared" si="5"/>
        <v>58.208061000000008</v>
      </c>
      <c r="P29" s="3">
        <f t="shared" si="5"/>
        <v>58.591491999999995</v>
      </c>
      <c r="Q29" s="3">
        <f t="shared" si="5"/>
        <v>40.750532</v>
      </c>
      <c r="R29" s="3">
        <f t="shared" si="5"/>
        <v>32.210534000000003</v>
      </c>
      <c r="S29" s="3">
        <f t="shared" si="5"/>
        <v>28.328931000000004</v>
      </c>
      <c r="T29" s="3">
        <f t="shared" si="5"/>
        <v>28.089824</v>
      </c>
      <c r="U29" s="3">
        <f t="shared" si="5"/>
        <v>24.506887000000003</v>
      </c>
      <c r="V29" s="3">
        <f t="shared" si="5"/>
        <v>25.233217999999997</v>
      </c>
      <c r="W29" s="3">
        <f t="shared" si="5"/>
        <v>28.963918000000003</v>
      </c>
      <c r="X29" s="3">
        <f t="shared" si="5"/>
        <v>120.19200000000001</v>
      </c>
      <c r="Y29" s="3">
        <f t="shared" si="5"/>
        <v>100.91</v>
      </c>
      <c r="Z29" s="3">
        <f t="shared" si="5"/>
        <v>96.7</v>
      </c>
      <c r="AA29" s="3">
        <f t="shared" si="5"/>
        <v>411.7</v>
      </c>
      <c r="AB29" s="3">
        <f t="shared" si="5"/>
        <v>442.9</v>
      </c>
      <c r="AC29" s="3">
        <f t="shared" si="5"/>
        <v>430.7</v>
      </c>
      <c r="AD29" s="1"/>
      <c r="AE29" s="1"/>
    </row>
    <row r="30" spans="1:31" x14ac:dyDescent="0.3">
      <c r="A30" s="6" t="s">
        <v>69</v>
      </c>
      <c r="B30" s="17" t="s">
        <v>31</v>
      </c>
      <c r="C30" s="6" t="s">
        <v>50</v>
      </c>
      <c r="D30" s="7">
        <f t="shared" ref="D30:AA30" si="6">D26+D29+D16+D17</f>
        <v>0</v>
      </c>
      <c r="E30" s="7">
        <f t="shared" si="6"/>
        <v>39.9</v>
      </c>
      <c r="F30" s="7">
        <f t="shared" si="6"/>
        <v>130.60925</v>
      </c>
      <c r="G30" s="7">
        <f t="shared" si="6"/>
        <v>68.549700000000001</v>
      </c>
      <c r="H30" s="7">
        <f t="shared" si="6"/>
        <v>98.329881999999998</v>
      </c>
      <c r="I30" s="7">
        <f t="shared" si="6"/>
        <v>90.853740999999985</v>
      </c>
      <c r="J30" s="7">
        <f t="shared" si="6"/>
        <v>97.101539000000002</v>
      </c>
      <c r="K30" s="7">
        <f t="shared" si="6"/>
        <v>105.994585</v>
      </c>
      <c r="L30" s="7">
        <f t="shared" si="6"/>
        <v>119.65976800000001</v>
      </c>
      <c r="M30" s="7">
        <f t="shared" si="6"/>
        <v>127.75725856999999</v>
      </c>
      <c r="N30" s="7">
        <f t="shared" si="6"/>
        <v>256.89344800000003</v>
      </c>
      <c r="O30" s="7">
        <f t="shared" si="6"/>
        <v>273.06025500000004</v>
      </c>
      <c r="P30" s="7">
        <f t="shared" si="6"/>
        <v>189.978521</v>
      </c>
      <c r="Q30" s="7">
        <f t="shared" si="6"/>
        <v>213.18813600000001</v>
      </c>
      <c r="R30" s="7">
        <f t="shared" si="6"/>
        <v>185.58130599999998</v>
      </c>
      <c r="S30" s="7">
        <f t="shared" si="6"/>
        <v>107.35892199999999</v>
      </c>
      <c r="T30" s="7">
        <f t="shared" si="6"/>
        <v>106.16236900000001</v>
      </c>
      <c r="U30" s="7">
        <f t="shared" si="6"/>
        <v>142.984048</v>
      </c>
      <c r="V30" s="7">
        <f t="shared" si="6"/>
        <v>154.95010400000001</v>
      </c>
      <c r="W30" s="7">
        <f t="shared" si="6"/>
        <v>197.43560500000001</v>
      </c>
      <c r="X30" s="7">
        <f t="shared" si="6"/>
        <v>390.41858602499997</v>
      </c>
      <c r="Y30" s="7">
        <f t="shared" si="6"/>
        <v>429.82275367200003</v>
      </c>
      <c r="Z30" s="7">
        <f t="shared" si="6"/>
        <v>349.8</v>
      </c>
      <c r="AA30" s="7">
        <f t="shared" si="6"/>
        <v>700</v>
      </c>
      <c r="AB30" s="7">
        <f t="shared" ref="AB30:AC30" si="7">AB26+AB29+AB16+AB17</f>
        <v>637.29999999999995</v>
      </c>
      <c r="AC30" s="7">
        <f t="shared" si="7"/>
        <v>650.33199999999999</v>
      </c>
      <c r="AD30" s="1"/>
      <c r="AE30" s="1"/>
    </row>
    <row r="31" spans="1:31" x14ac:dyDescent="0.3">
      <c r="A31" s="1" t="s">
        <v>70</v>
      </c>
      <c r="B31" s="2" t="s">
        <v>32</v>
      </c>
      <c r="C31" s="1" t="s">
        <v>51</v>
      </c>
      <c r="D31" s="30" t="e">
        <f t="shared" ref="D31:AA31" si="8">D30/D7</f>
        <v>#DIV/0!</v>
      </c>
      <c r="E31" s="30" t="e">
        <f t="shared" si="8"/>
        <v>#DIV/0!</v>
      </c>
      <c r="F31" s="30">
        <f t="shared" si="8"/>
        <v>13.034855289421159</v>
      </c>
      <c r="G31" s="30">
        <f t="shared" si="8"/>
        <v>5.8290561224489794</v>
      </c>
      <c r="H31" s="30">
        <f t="shared" si="8"/>
        <v>7.7336574872008725</v>
      </c>
      <c r="I31" s="30">
        <f t="shared" si="8"/>
        <v>5.8653157520981267</v>
      </c>
      <c r="J31" s="30">
        <f t="shared" si="8"/>
        <v>5.4551426404494379</v>
      </c>
      <c r="K31" s="30">
        <f t="shared" si="8"/>
        <v>5.3804357868020309</v>
      </c>
      <c r="L31" s="30">
        <f t="shared" si="8"/>
        <v>5.1577486206896559</v>
      </c>
      <c r="M31" s="30">
        <f t="shared" si="8"/>
        <v>5.30113106099585</v>
      </c>
      <c r="N31" s="30">
        <f t="shared" si="8"/>
        <v>9.240771510791367</v>
      </c>
      <c r="O31" s="30">
        <f t="shared" si="8"/>
        <v>8.4277856481481503</v>
      </c>
      <c r="P31" s="30">
        <f t="shared" si="8"/>
        <v>5.4279577428571431</v>
      </c>
      <c r="Q31" s="30">
        <f t="shared" si="8"/>
        <v>6.2702392941176477</v>
      </c>
      <c r="R31" s="30">
        <f t="shared" si="8"/>
        <v>5.7455512693498454</v>
      </c>
      <c r="S31" s="30">
        <f t="shared" si="8"/>
        <v>4.6076790557939908</v>
      </c>
      <c r="T31" s="30">
        <f t="shared" si="8"/>
        <v>6.2083256725146203</v>
      </c>
      <c r="U31" s="30">
        <f t="shared" si="8"/>
        <v>7.6873144086021501</v>
      </c>
      <c r="V31" s="30">
        <f t="shared" si="8"/>
        <v>6.1003977952755912</v>
      </c>
      <c r="W31" s="30">
        <f t="shared" si="8"/>
        <v>6.0377860856269114</v>
      </c>
      <c r="X31" s="30">
        <f t="shared" si="8"/>
        <v>8.2873824246444485</v>
      </c>
      <c r="Y31" s="30">
        <f t="shared" si="8"/>
        <v>9.0109591964779874</v>
      </c>
      <c r="Z31" s="30">
        <f t="shared" si="8"/>
        <v>5.7344262295081965</v>
      </c>
      <c r="AA31" s="30">
        <f t="shared" si="8"/>
        <v>5.8557804918855609</v>
      </c>
      <c r="AB31" s="30">
        <f t="shared" ref="AB31:AC31" si="9">AB30/AB7</f>
        <v>14.616972477064218</v>
      </c>
      <c r="AC31" s="30">
        <f t="shared" si="9"/>
        <v>8.078658385093167</v>
      </c>
      <c r="AD31" s="1"/>
      <c r="AE31" s="1"/>
    </row>
    <row r="32" spans="1:31" x14ac:dyDescent="0.3">
      <c r="A32" s="18" t="s">
        <v>72</v>
      </c>
      <c r="B32" s="17" t="s">
        <v>33</v>
      </c>
      <c r="C32" s="6" t="s">
        <v>109</v>
      </c>
      <c r="D32" s="27" t="e">
        <f t="shared" ref="D32:Z32" si="10">D7/D6</f>
        <v>#DIV/0!</v>
      </c>
      <c r="E32" s="27" t="e">
        <f t="shared" si="10"/>
        <v>#DIV/0!</v>
      </c>
      <c r="F32" s="27">
        <f t="shared" si="10"/>
        <v>0.15258108725445407</v>
      </c>
      <c r="G32" s="27">
        <f t="shared" si="10"/>
        <v>0.15646620542841938</v>
      </c>
      <c r="H32" s="27">
        <f t="shared" si="10"/>
        <v>0.15458503722467573</v>
      </c>
      <c r="I32" s="27">
        <f t="shared" si="10"/>
        <v>0.16014715590282205</v>
      </c>
      <c r="J32" s="27">
        <f t="shared" si="10"/>
        <v>0.14758311914434957</v>
      </c>
      <c r="K32" s="27">
        <f t="shared" si="10"/>
        <v>0.15026697177726925</v>
      </c>
      <c r="L32" s="27">
        <f t="shared" si="10"/>
        <v>0.16642754662840745</v>
      </c>
      <c r="M32" s="27">
        <f t="shared" si="10"/>
        <v>0.16924157303370788</v>
      </c>
      <c r="N32" s="27">
        <f t="shared" si="10"/>
        <v>0.16391509530610315</v>
      </c>
      <c r="O32" s="27">
        <f t="shared" si="10"/>
        <v>0.15725392327304433</v>
      </c>
      <c r="P32" s="27">
        <f t="shared" si="10"/>
        <v>0.16049708607222565</v>
      </c>
      <c r="Q32" s="27">
        <f t="shared" si="10"/>
        <v>0.16092651871751484</v>
      </c>
      <c r="R32" s="27">
        <f t="shared" si="10"/>
        <v>0.14958524988662894</v>
      </c>
      <c r="S32" s="27">
        <f t="shared" si="10"/>
        <v>0.11758254486414989</v>
      </c>
      <c r="T32" s="27">
        <f t="shared" si="10"/>
        <v>9.8219283810140376E-2</v>
      </c>
      <c r="U32" s="27">
        <f t="shared" si="10"/>
        <v>0.10670790869968066</v>
      </c>
      <c r="V32" s="27">
        <f t="shared" si="10"/>
        <v>0.13393812549005732</v>
      </c>
      <c r="W32" s="27">
        <f t="shared" si="10"/>
        <v>0.15143138993125835</v>
      </c>
      <c r="X32" s="27">
        <f t="shared" si="10"/>
        <v>0.16890147712605763</v>
      </c>
      <c r="Y32" s="27">
        <f t="shared" si="10"/>
        <v>0.10412346379690468</v>
      </c>
      <c r="Z32" s="27">
        <f t="shared" si="10"/>
        <v>0.13260004782296808</v>
      </c>
      <c r="AA32" s="27">
        <f t="shared" ref="AA32:AE32" si="11">AA7/AA6</f>
        <v>0.24813184988375955</v>
      </c>
      <c r="AB32" s="27">
        <f t="shared" si="11"/>
        <v>0.15157836184119039</v>
      </c>
      <c r="AC32" s="27">
        <f t="shared" si="11"/>
        <v>0.22268326417704012</v>
      </c>
      <c r="AD32" s="27">
        <f t="shared" si="11"/>
        <v>0.23210412147505424</v>
      </c>
      <c r="AE32" s="27">
        <f t="shared" si="11"/>
        <v>0.24435721295387636</v>
      </c>
    </row>
    <row r="33" spans="1:31" x14ac:dyDescent="0.3">
      <c r="A33" s="16" t="s">
        <v>73</v>
      </c>
      <c r="B33" s="2" t="s">
        <v>34</v>
      </c>
      <c r="C33" s="1" t="s">
        <v>110</v>
      </c>
      <c r="D33" s="28" t="e">
        <f t="shared" ref="D33:Z33" si="12">D8/D6</f>
        <v>#DIV/0!</v>
      </c>
      <c r="E33" s="28" t="e">
        <f t="shared" si="12"/>
        <v>#DIV/0!</v>
      </c>
      <c r="F33" s="28">
        <f t="shared" si="12"/>
        <v>8.5731688746764123E-2</v>
      </c>
      <c r="G33" s="28">
        <f t="shared" si="12"/>
        <v>8.4752527940393826E-2</v>
      </c>
      <c r="H33" s="28">
        <f t="shared" si="12"/>
        <v>8.3089224376073204E-2</v>
      </c>
      <c r="I33" s="28">
        <f t="shared" si="12"/>
        <v>8.3638738991162462E-2</v>
      </c>
      <c r="J33" s="28">
        <f t="shared" si="12"/>
        <v>7.8301310007462058E-2</v>
      </c>
      <c r="K33" s="28">
        <f t="shared" si="12"/>
        <v>8.4491502669717777E-2</v>
      </c>
      <c r="L33" s="28">
        <f t="shared" si="12"/>
        <v>0.10142631276901004</v>
      </c>
      <c r="M33" s="28">
        <f t="shared" si="12"/>
        <v>0.10247311095505618</v>
      </c>
      <c r="N33" s="28">
        <f t="shared" si="12"/>
        <v>0.1047531904761391</v>
      </c>
      <c r="O33" s="28">
        <f t="shared" si="12"/>
        <v>0.10656287357665482</v>
      </c>
      <c r="P33" s="28">
        <f t="shared" si="12"/>
        <v>0.10833983442065906</v>
      </c>
      <c r="Q33" s="28">
        <f t="shared" si="12"/>
        <v>0.1053254930059631</v>
      </c>
      <c r="R33" s="28">
        <f t="shared" si="12"/>
        <v>9.8596352682765828E-2</v>
      </c>
      <c r="S33" s="28">
        <f t="shared" si="12"/>
        <v>5.2610452601759568E-2</v>
      </c>
      <c r="T33" s="28">
        <f t="shared" si="12"/>
        <v>3.2024667445731306E-2</v>
      </c>
      <c r="U33" s="28">
        <f t="shared" si="12"/>
        <v>3.7013772290658227E-2</v>
      </c>
      <c r="V33" s="28">
        <f t="shared" si="12"/>
        <v>5.7662351002733842E-2</v>
      </c>
      <c r="W33" s="28">
        <f t="shared" si="12"/>
        <v>8.4845025740719809E-2</v>
      </c>
      <c r="X33" s="28">
        <f t="shared" si="12"/>
        <v>0.10938620392944214</v>
      </c>
      <c r="Y33" s="28">
        <f t="shared" si="12"/>
        <v>7.2820938202615093E-2</v>
      </c>
      <c r="Z33" s="28">
        <f t="shared" si="12"/>
        <v>6.7930352368323815E-2</v>
      </c>
      <c r="AA33" s="28">
        <f t="shared" ref="AA33:AE33" si="13">AA8/AA6</f>
        <v>6.833277980737297E-2</v>
      </c>
      <c r="AB33" s="28">
        <f t="shared" si="13"/>
        <v>-0.17709637046307886</v>
      </c>
      <c r="AC33" s="28">
        <f t="shared" si="13"/>
        <v>4.1493775933609959E-3</v>
      </c>
      <c r="AD33" s="28">
        <f t="shared" si="13"/>
        <v>6.0737527114967459E-2</v>
      </c>
      <c r="AE33" s="28">
        <f t="shared" si="13"/>
        <v>7.9489695780176645E-2</v>
      </c>
    </row>
    <row r="34" spans="1:31" x14ac:dyDescent="0.3">
      <c r="A34" s="18" t="s">
        <v>74</v>
      </c>
      <c r="B34" s="17" t="s">
        <v>35</v>
      </c>
      <c r="C34" s="6" t="s">
        <v>54</v>
      </c>
      <c r="D34" s="27" t="e">
        <f t="shared" ref="D34:Z34" si="14">D11/D10</f>
        <v>#DIV/0!</v>
      </c>
      <c r="E34" s="27" t="e">
        <f t="shared" si="14"/>
        <v>#DIV/0!</v>
      </c>
      <c r="F34" s="27">
        <f t="shared" si="14"/>
        <v>0.17094017094017097</v>
      </c>
      <c r="G34" s="27">
        <f t="shared" si="14"/>
        <v>0.23389830508474574</v>
      </c>
      <c r="H34" s="27">
        <f t="shared" si="14"/>
        <v>0.1662814358539714</v>
      </c>
      <c r="I34" s="27">
        <f t="shared" si="14"/>
        <v>0.17978461715175081</v>
      </c>
      <c r="J34" s="27">
        <f t="shared" si="14"/>
        <v>0.1875</v>
      </c>
      <c r="K34" s="27">
        <f t="shared" si="14"/>
        <v>0.13541666666666669</v>
      </c>
      <c r="L34" s="27">
        <f t="shared" si="14"/>
        <v>0.3190202290076336</v>
      </c>
      <c r="M34" s="27">
        <f t="shared" si="14"/>
        <v>0.29438639705882352</v>
      </c>
      <c r="N34" s="27">
        <f t="shared" si="14"/>
        <v>0.15157232704402515</v>
      </c>
      <c r="O34" s="27">
        <f t="shared" si="14"/>
        <v>0.17403314917127069</v>
      </c>
      <c r="P34" s="27">
        <f t="shared" si="14"/>
        <v>0.24975696185219198</v>
      </c>
      <c r="Q34" s="27">
        <f t="shared" si="14"/>
        <v>0.28483237714196935</v>
      </c>
      <c r="R34" s="27">
        <f t="shared" si="14"/>
        <v>0.20303030303030301</v>
      </c>
      <c r="S34" s="27">
        <f t="shared" si="14"/>
        <v>0.31521739130434784</v>
      </c>
      <c r="T34" s="27">
        <f t="shared" si="14"/>
        <v>0.31428571428571433</v>
      </c>
      <c r="U34" s="27">
        <f t="shared" si="14"/>
        <v>0.21428571428571427</v>
      </c>
      <c r="V34" s="27">
        <f t="shared" si="14"/>
        <v>0.31111111111111112</v>
      </c>
      <c r="W34" s="27">
        <f t="shared" si="14"/>
        <v>0.23428571428571426</v>
      </c>
      <c r="X34" s="27">
        <f t="shared" si="14"/>
        <v>0.20216494845360825</v>
      </c>
      <c r="Y34" s="27">
        <f t="shared" si="14"/>
        <v>9.1150442477876112E-2</v>
      </c>
      <c r="Z34" s="27">
        <f t="shared" si="14"/>
        <v>0.14060356652949244</v>
      </c>
      <c r="AA34" s="27">
        <f t="shared" ref="AA34:AE34" si="15">AA11/AA10</f>
        <v>-0.43198051948051946</v>
      </c>
      <c r="AB34" s="27">
        <f t="shared" si="15"/>
        <v>0.21784172661870504</v>
      </c>
      <c r="AC34" s="27">
        <f t="shared" si="15"/>
        <v>0.16666666666666666</v>
      </c>
      <c r="AD34" s="27">
        <f t="shared" si="15"/>
        <v>0.14285714285714285</v>
      </c>
      <c r="AE34" s="27">
        <f t="shared" si="15"/>
        <v>0.18461538461538463</v>
      </c>
    </row>
    <row r="35" spans="1:31" x14ac:dyDescent="0.3">
      <c r="A35" s="16" t="s">
        <v>75</v>
      </c>
      <c r="B35" s="2" t="s">
        <v>36</v>
      </c>
      <c r="C35" s="1" t="s">
        <v>108</v>
      </c>
      <c r="D35" s="28" t="e">
        <f t="shared" ref="D35:Z35" si="16">D12/D6</f>
        <v>#DIV/0!</v>
      </c>
      <c r="E35" s="28" t="e">
        <f t="shared" si="16"/>
        <v>#DIV/0!</v>
      </c>
      <c r="F35" s="28">
        <f t="shared" si="16"/>
        <v>5.8321912593269375E-2</v>
      </c>
      <c r="G35" s="28">
        <f t="shared" si="16"/>
        <v>6.1335816923895697E-2</v>
      </c>
      <c r="H35" s="28">
        <f t="shared" si="16"/>
        <v>6.5128623193383584E-2</v>
      </c>
      <c r="I35" s="28">
        <f t="shared" si="16"/>
        <v>5.6919607606177286E-2</v>
      </c>
      <c r="J35" s="28">
        <f t="shared" si="16"/>
        <v>6.7290183235220957E-2</v>
      </c>
      <c r="K35" s="28">
        <f t="shared" si="16"/>
        <v>4.6315499618611748E-2</v>
      </c>
      <c r="L35" s="28">
        <f t="shared" si="16"/>
        <v>5.9785114777618359E-2</v>
      </c>
      <c r="M35" s="28">
        <f t="shared" si="16"/>
        <v>6.4402823033707854E-2</v>
      </c>
      <c r="N35" s="28">
        <f t="shared" si="16"/>
        <v>6.4268868303472101E-2</v>
      </c>
      <c r="O35" s="28">
        <f t="shared" si="16"/>
        <v>6.2125006725153323E-2</v>
      </c>
      <c r="P35" s="28">
        <f t="shared" si="16"/>
        <v>6.2823145119699761E-2</v>
      </c>
      <c r="Q35" s="28">
        <f t="shared" si="16"/>
        <v>6.9103740390462257E-2</v>
      </c>
      <c r="R35" s="28">
        <f t="shared" si="16"/>
        <v>6.744713704738009E-2</v>
      </c>
      <c r="S35" s="28">
        <f t="shared" si="16"/>
        <v>3.0910270973566918E-2</v>
      </c>
      <c r="T35" s="28">
        <f t="shared" si="16"/>
        <v>1.4437539718140867E-2</v>
      </c>
      <c r="U35" s="28">
        <f t="shared" si="16"/>
        <v>2.0518106481928887E-2</v>
      </c>
      <c r="V35" s="28">
        <f t="shared" si="16"/>
        <v>4.0899050702989284E-2</v>
      </c>
      <c r="W35" s="28">
        <f t="shared" si="16"/>
        <v>4.4748670364090193E-2</v>
      </c>
      <c r="X35" s="28">
        <f t="shared" si="16"/>
        <v>8.3859171088484147E-2</v>
      </c>
      <c r="Y35" s="28">
        <f t="shared" si="16"/>
        <v>6.7341904782694112E-2</v>
      </c>
      <c r="Z35" s="28">
        <f t="shared" si="16"/>
        <v>5.4257331043627594E-2</v>
      </c>
      <c r="AA35" s="28">
        <f t="shared" ref="AA35:AE35" si="17">AA12/AA6</f>
        <v>3.642892726668881E-2</v>
      </c>
      <c r="AB35" s="28">
        <f t="shared" si="17"/>
        <v>-0.19190654985398417</v>
      </c>
      <c r="AC35" s="28">
        <f t="shared" si="17"/>
        <v>-2.6279391424619641E-2</v>
      </c>
      <c r="AD35" s="28">
        <f t="shared" si="17"/>
        <v>2.6030368763557483E-2</v>
      </c>
      <c r="AE35" s="28">
        <f t="shared" si="17"/>
        <v>4.1216879293424928E-2</v>
      </c>
    </row>
    <row r="36" spans="1:31" x14ac:dyDescent="0.3">
      <c r="A36" s="18" t="s">
        <v>76</v>
      </c>
      <c r="B36" s="17" t="s">
        <v>37</v>
      </c>
      <c r="C36" s="6" t="s">
        <v>56</v>
      </c>
      <c r="D36" s="29" t="e">
        <f t="shared" ref="D36:E36" si="18">D26/D12</f>
        <v>#DIV/0!</v>
      </c>
      <c r="E36" s="29" t="e">
        <f t="shared" si="18"/>
        <v>#DIV/0!</v>
      </c>
      <c r="F36" s="29">
        <f>IF(F26/F12&lt;0,0,F26/F12)</f>
        <v>32.843342036553523</v>
      </c>
      <c r="G36" s="29">
        <f t="shared" ref="G36:Z36" si="19">IF(G26/G12&lt;0,0,G26/G12)</f>
        <v>13.757049891540129</v>
      </c>
      <c r="H36" s="29">
        <f t="shared" si="19"/>
        <v>15.658616766182016</v>
      </c>
      <c r="I36" s="29">
        <f t="shared" si="19"/>
        <v>13.601028505125631</v>
      </c>
      <c r="J36" s="29">
        <f t="shared" si="19"/>
        <v>8.6053631471873189</v>
      </c>
      <c r="K36" s="29">
        <f t="shared" si="19"/>
        <v>12.865693164746419</v>
      </c>
      <c r="L36" s="29">
        <f t="shared" si="19"/>
        <v>11.749396601530229</v>
      </c>
      <c r="M36" s="29">
        <f t="shared" si="19"/>
        <v>12.322949715635065</v>
      </c>
      <c r="N36" s="29">
        <f t="shared" si="19"/>
        <v>16.409174311926602</v>
      </c>
      <c r="O36" s="29">
        <f t="shared" si="19"/>
        <v>16.422656249999999</v>
      </c>
      <c r="P36" s="29">
        <f t="shared" si="19"/>
        <v>9.2255474452554758</v>
      </c>
      <c r="Q36" s="29">
        <f t="shared" si="19"/>
        <v>11.572602739726028</v>
      </c>
      <c r="R36" s="29">
        <f t="shared" si="19"/>
        <v>10.19645443530662</v>
      </c>
      <c r="S36" s="29">
        <f t="shared" si="19"/>
        <v>12.176052196701528</v>
      </c>
      <c r="T36" s="29">
        <f t="shared" si="19"/>
        <v>29.198207018756925</v>
      </c>
      <c r="U36" s="29">
        <f t="shared" si="19"/>
        <v>31.740865693526171</v>
      </c>
      <c r="V36" s="29">
        <f t="shared" si="19"/>
        <v>16.082850014079263</v>
      </c>
      <c r="W36" s="29">
        <f t="shared" si="19"/>
        <v>16.904687985097794</v>
      </c>
      <c r="X36" s="29">
        <f t="shared" si="19"/>
        <v>11.538828004489096</v>
      </c>
      <c r="Y36" s="29">
        <f t="shared" si="19"/>
        <v>10.638987153063209</v>
      </c>
      <c r="Z36" s="29">
        <f t="shared" si="19"/>
        <v>10.128205128205128</v>
      </c>
      <c r="AA36" s="29">
        <f t="shared" ref="AA36:AE36" si="20">IF(AA26/AA12&lt;0,0,AA26/AA12)</f>
        <v>16.410256410256409</v>
      </c>
      <c r="AB36" s="29">
        <f t="shared" si="20"/>
        <v>0</v>
      </c>
      <c r="AC36" s="29">
        <f t="shared" si="20"/>
        <v>0</v>
      </c>
      <c r="AD36" s="29">
        <f t="shared" si="20"/>
        <v>17.596</v>
      </c>
      <c r="AE36" s="29">
        <f t="shared" si="20"/>
        <v>10.054857142857143</v>
      </c>
    </row>
    <row r="37" spans="1:31" x14ac:dyDescent="0.3">
      <c r="A37" s="16" t="s">
        <v>77</v>
      </c>
      <c r="B37" s="2" t="s">
        <v>38</v>
      </c>
      <c r="C37" s="1" t="s">
        <v>57</v>
      </c>
      <c r="D37" s="30" t="e">
        <f t="shared" ref="D37:AA37" si="21">D26/D23</f>
        <v>#DIV/0!</v>
      </c>
      <c r="E37" s="30" t="e">
        <f t="shared" si="21"/>
        <v>#DIV/0!</v>
      </c>
      <c r="F37" s="30">
        <f t="shared" si="21"/>
        <v>6.6661367249602543</v>
      </c>
      <c r="G37" s="30">
        <f t="shared" si="21"/>
        <v>2.8186666666666667</v>
      </c>
      <c r="H37" s="30">
        <f t="shared" si="21"/>
        <v>3.1841646345220158</v>
      </c>
      <c r="I37" s="30">
        <f t="shared" si="21"/>
        <v>2.4359145146250021</v>
      </c>
      <c r="J37" s="30">
        <f t="shared" si="21"/>
        <v>1.927409944088553</v>
      </c>
      <c r="K37" s="30">
        <f t="shared" si="21"/>
        <v>1.9048451804893234</v>
      </c>
      <c r="L37" s="30">
        <f t="shared" si="21"/>
        <v>2.2839993668619401</v>
      </c>
      <c r="M37" s="30">
        <f t="shared" si="21"/>
        <v>2.229366384500902</v>
      </c>
      <c r="N37" s="30">
        <f t="shared" si="21"/>
        <v>2.9765279156331568</v>
      </c>
      <c r="O37" s="30">
        <f t="shared" si="21"/>
        <v>3.0140428069784537</v>
      </c>
      <c r="P37" s="30">
        <f t="shared" si="21"/>
        <v>1.5240378535841075</v>
      </c>
      <c r="Q37" s="30">
        <f t="shared" si="21"/>
        <v>1.7725080910808573</v>
      </c>
      <c r="R37" s="30">
        <f t="shared" si="21"/>
        <v>1.3582406808157175</v>
      </c>
      <c r="S37" s="30">
        <f t="shared" si="21"/>
        <v>0.64939584853023813</v>
      </c>
      <c r="T37" s="30">
        <f t="shared" si="21"/>
        <v>0.62943757370271713</v>
      </c>
      <c r="U37" s="30">
        <f t="shared" si="21"/>
        <v>0.95043460112423217</v>
      </c>
      <c r="V37" s="30">
        <f t="shared" si="21"/>
        <v>1.0283594394064304</v>
      </c>
      <c r="W37" s="30">
        <f t="shared" si="21"/>
        <v>1.2575057736720554</v>
      </c>
      <c r="X37" s="30">
        <f t="shared" si="21"/>
        <v>1.7802980674472295</v>
      </c>
      <c r="Y37" s="30">
        <f t="shared" si="21"/>
        <v>1.7467416374241618</v>
      </c>
      <c r="Z37" s="30">
        <f t="shared" si="21"/>
        <v>1.2465483234714003</v>
      </c>
      <c r="AA37" s="30">
        <f t="shared" si="21"/>
        <v>1.3464235624123422</v>
      </c>
      <c r="AB37" s="30">
        <f t="shared" ref="AB37:AC37" si="22">AB26/AB23</f>
        <v>1.2437619961612283</v>
      </c>
      <c r="AC37" s="30">
        <f t="shared" si="22"/>
        <v>1.6031532846715326</v>
      </c>
      <c r="AD37" s="1"/>
      <c r="AE37" s="1"/>
    </row>
    <row r="38" spans="1:31" x14ac:dyDescent="0.3">
      <c r="A38" s="18" t="s">
        <v>78</v>
      </c>
      <c r="B38" s="17" t="s">
        <v>39</v>
      </c>
      <c r="C38" s="6" t="s">
        <v>106</v>
      </c>
      <c r="D38" s="55" t="e">
        <f t="shared" ref="D38:AA38" si="23">D8/D23</f>
        <v>#DIV/0!</v>
      </c>
      <c r="E38" s="55" t="e">
        <f t="shared" si="23"/>
        <v>#DIV/0!</v>
      </c>
      <c r="F38" s="55">
        <f t="shared" si="23"/>
        <v>0.29835718071012185</v>
      </c>
      <c r="G38" s="55">
        <f t="shared" si="23"/>
        <v>0.28311111111111109</v>
      </c>
      <c r="H38" s="55">
        <f t="shared" si="23"/>
        <v>0.25942685264344312</v>
      </c>
      <c r="I38" s="55">
        <f t="shared" si="23"/>
        <v>0.26316969147197328</v>
      </c>
      <c r="J38" s="55">
        <f t="shared" si="23"/>
        <v>0.26062868337037098</v>
      </c>
      <c r="K38" s="55">
        <f t="shared" si="23"/>
        <v>0.27009290411764764</v>
      </c>
      <c r="L38" s="55">
        <f t="shared" si="23"/>
        <v>0.32979038194617927</v>
      </c>
      <c r="M38" s="55">
        <f t="shared" si="23"/>
        <v>0.28785368161668823</v>
      </c>
      <c r="N38" s="55">
        <f t="shared" si="23"/>
        <v>0.29565813842991601</v>
      </c>
      <c r="O38" s="55">
        <f t="shared" si="23"/>
        <v>0.31480780261568331</v>
      </c>
      <c r="P38" s="55">
        <f t="shared" si="23"/>
        <v>0.28488665114669831</v>
      </c>
      <c r="Q38" s="55">
        <f t="shared" si="23"/>
        <v>0.23344744588518429</v>
      </c>
      <c r="R38" s="55">
        <f t="shared" si="23"/>
        <v>0.19472642064680956</v>
      </c>
      <c r="S38" s="55">
        <f t="shared" si="23"/>
        <v>9.0776248857962774E-2</v>
      </c>
      <c r="T38" s="55">
        <f t="shared" si="23"/>
        <v>4.7817615694553166E-2</v>
      </c>
      <c r="U38" s="55">
        <f t="shared" si="23"/>
        <v>5.4016885585892363E-2</v>
      </c>
      <c r="V38" s="55">
        <f t="shared" si="23"/>
        <v>9.0149027205276178E-2</v>
      </c>
      <c r="W38" s="55">
        <f t="shared" si="23"/>
        <v>0.14104220169361045</v>
      </c>
      <c r="X38" s="55">
        <f t="shared" si="23"/>
        <v>0.20125329815303433</v>
      </c>
      <c r="Y38" s="55">
        <f t="shared" si="23"/>
        <v>0.17754124534326768</v>
      </c>
      <c r="Z38" s="55">
        <f t="shared" si="23"/>
        <v>0.15409270216962523</v>
      </c>
      <c r="AA38" s="55">
        <f t="shared" si="23"/>
        <v>0.15390369331463302</v>
      </c>
      <c r="AB38" s="55">
        <f t="shared" ref="AB38:AC38" si="24">AB8/AB23</f>
        <v>-0.32591170825335891</v>
      </c>
      <c r="AC38" s="55">
        <f t="shared" si="24"/>
        <v>1.0948905109489052E-2</v>
      </c>
      <c r="AD38" s="1"/>
      <c r="AE38" s="1"/>
    </row>
    <row r="39" spans="1:31" x14ac:dyDescent="0.3">
      <c r="A39" s="16" t="s">
        <v>79</v>
      </c>
      <c r="B39" s="2" t="s">
        <v>40</v>
      </c>
      <c r="C39" s="1" t="s">
        <v>107</v>
      </c>
      <c r="D39" s="56" t="e">
        <f t="shared" ref="D39:AA39" si="25">D12/D23</f>
        <v>#DIV/0!</v>
      </c>
      <c r="E39" s="56" t="e">
        <f t="shared" si="25"/>
        <v>#DIV/0!</v>
      </c>
      <c r="F39" s="56">
        <f t="shared" si="25"/>
        <v>0.20296767355590883</v>
      </c>
      <c r="G39" s="56">
        <f t="shared" si="25"/>
        <v>0.2048888888888889</v>
      </c>
      <c r="H39" s="56">
        <f t="shared" si="25"/>
        <v>0.20334903664025228</v>
      </c>
      <c r="I39" s="56">
        <f t="shared" si="25"/>
        <v>0.17909781702957336</v>
      </c>
      <c r="J39" s="56">
        <f t="shared" si="25"/>
        <v>0.22397775795418126</v>
      </c>
      <c r="K39" s="56">
        <f t="shared" si="25"/>
        <v>0.14805616425773571</v>
      </c>
      <c r="L39" s="56">
        <f t="shared" si="25"/>
        <v>0.19439290751020136</v>
      </c>
      <c r="M39" s="56">
        <f t="shared" si="25"/>
        <v>0.18091174888690284</v>
      </c>
      <c r="N39" s="56">
        <f t="shared" si="25"/>
        <v>0.18139413105446389</v>
      </c>
      <c r="O39" s="56">
        <f t="shared" si="25"/>
        <v>0.18352955582191241</v>
      </c>
      <c r="P39" s="56">
        <f t="shared" si="25"/>
        <v>0.16519755197485775</v>
      </c>
      <c r="Q39" s="56">
        <f t="shared" si="25"/>
        <v>0.15316416980220474</v>
      </c>
      <c r="R39" s="56">
        <f t="shared" si="25"/>
        <v>0.1332071544509259</v>
      </c>
      <c r="S39" s="56">
        <f t="shared" si="25"/>
        <v>5.3333858794245181E-2</v>
      </c>
      <c r="T39" s="56">
        <f t="shared" si="25"/>
        <v>2.1557404990599816E-2</v>
      </c>
      <c r="U39" s="56">
        <f t="shared" si="25"/>
        <v>2.9943562670947617E-2</v>
      </c>
      <c r="V39" s="56">
        <f t="shared" si="25"/>
        <v>6.3941368507831831E-2</v>
      </c>
      <c r="W39" s="56">
        <f t="shared" si="25"/>
        <v>7.4387990762124712E-2</v>
      </c>
      <c r="X39" s="56">
        <f t="shared" si="25"/>
        <v>0.15428759894459104</v>
      </c>
      <c r="Y39" s="56">
        <f t="shared" si="25"/>
        <v>0.16418307610431079</v>
      </c>
      <c r="Z39" s="56">
        <f t="shared" si="25"/>
        <v>0.12307692307692307</v>
      </c>
      <c r="AA39" s="56">
        <f t="shared" si="25"/>
        <v>8.2047685834502102E-2</v>
      </c>
      <c r="AB39" s="56">
        <f t="shared" ref="AB39:AC39" si="26">AB12/AB23</f>
        <v>-0.3531669865642994</v>
      </c>
      <c r="AC39" s="56">
        <f t="shared" si="26"/>
        <v>-6.9343065693430656E-2</v>
      </c>
      <c r="AD39" s="1"/>
      <c r="AE39" s="1"/>
    </row>
    <row r="40" spans="1:31" x14ac:dyDescent="0.3">
      <c r="A40" s="18" t="s">
        <v>80</v>
      </c>
      <c r="B40" s="17" t="s">
        <v>41</v>
      </c>
      <c r="C40" s="6" t="s">
        <v>61</v>
      </c>
      <c r="D40" s="7">
        <f t="shared" ref="D40:AA40" si="27">D20-D19</f>
        <v>0</v>
      </c>
      <c r="E40" s="7">
        <f t="shared" si="27"/>
        <v>0</v>
      </c>
      <c r="F40" s="7">
        <f t="shared" si="27"/>
        <v>-10.450000000000001</v>
      </c>
      <c r="G40" s="7">
        <f t="shared" si="27"/>
        <v>-11.41</v>
      </c>
      <c r="H40" s="7">
        <f t="shared" si="27"/>
        <v>-16.607255000000002</v>
      </c>
      <c r="I40" s="7">
        <f t="shared" si="27"/>
        <v>-22.439602000000001</v>
      </c>
      <c r="J40" s="7">
        <f t="shared" si="27"/>
        <v>-32.586229000000003</v>
      </c>
      <c r="K40" s="7">
        <f t="shared" si="27"/>
        <v>-14.913601</v>
      </c>
      <c r="L40" s="7">
        <f t="shared" si="27"/>
        <v>-23.758254000000001</v>
      </c>
      <c r="M40" s="7">
        <f t="shared" si="27"/>
        <v>-25.142279000000002</v>
      </c>
      <c r="N40" s="7">
        <f t="shared" si="27"/>
        <v>-62.075333000000001</v>
      </c>
      <c r="O40" s="7">
        <f t="shared" si="27"/>
        <v>-58.015248</v>
      </c>
      <c r="P40" s="7">
        <f t="shared" si="27"/>
        <v>-59.802260000000004</v>
      </c>
      <c r="Q40" s="7">
        <f t="shared" si="27"/>
        <v>-45.991676999999996</v>
      </c>
      <c r="R40" s="7">
        <f t="shared" si="27"/>
        <v>-18.111393</v>
      </c>
      <c r="S40" s="7">
        <f t="shared" si="27"/>
        <v>-15.512165000000003</v>
      </c>
      <c r="T40" s="7">
        <f t="shared" si="27"/>
        <v>-18.096770000000006</v>
      </c>
      <c r="U40" s="7">
        <f t="shared" si="27"/>
        <v>-29.188496000000001</v>
      </c>
      <c r="V40" s="7">
        <f t="shared" si="27"/>
        <v>-32.700000000000003</v>
      </c>
      <c r="W40" s="7">
        <f t="shared" si="27"/>
        <v>-36.499999999999993</v>
      </c>
      <c r="X40" s="7">
        <f t="shared" si="27"/>
        <v>-37.49269799999999</v>
      </c>
      <c r="Y40" s="7">
        <f t="shared" si="27"/>
        <v>-42.374823000000006</v>
      </c>
      <c r="Z40" s="7">
        <f t="shared" si="27"/>
        <v>-63.200000000000017</v>
      </c>
      <c r="AA40" s="7">
        <f t="shared" si="27"/>
        <v>-96.699999999999989</v>
      </c>
      <c r="AB40" s="7">
        <f t="shared" ref="AB40:AC40" si="28">AB20-AB19</f>
        <v>-78.499999999999986</v>
      </c>
      <c r="AC40" s="7">
        <f t="shared" si="28"/>
        <v>-80.599999999999994</v>
      </c>
      <c r="AD40" s="1"/>
      <c r="AE40" s="1"/>
    </row>
    <row r="41" spans="1:31" x14ac:dyDescent="0.3">
      <c r="A41" s="53" t="s">
        <v>96</v>
      </c>
      <c r="B41" s="49" t="s">
        <v>42</v>
      </c>
      <c r="C41" s="52" t="s">
        <v>98</v>
      </c>
      <c r="D41" s="29" t="e">
        <f>D20/D19</f>
        <v>#DIV/0!</v>
      </c>
      <c r="E41" s="29" t="e">
        <f t="shared" ref="E41:AA41" si="29">E20/E19</f>
        <v>#DIV/0!</v>
      </c>
      <c r="F41" s="29">
        <f t="shared" si="29"/>
        <v>0.25196850393700787</v>
      </c>
      <c r="G41" s="29">
        <f t="shared" si="29"/>
        <v>0.35862844294547502</v>
      </c>
      <c r="H41" s="29">
        <f t="shared" si="29"/>
        <v>0.34377493726601321</v>
      </c>
      <c r="I41" s="29">
        <f t="shared" si="29"/>
        <v>0.37441173726990334</v>
      </c>
      <c r="J41" s="29">
        <f t="shared" si="29"/>
        <v>0.30721000189024505</v>
      </c>
      <c r="K41" s="29">
        <f t="shared" si="29"/>
        <v>0.52373407964162277</v>
      </c>
      <c r="L41" s="29">
        <f t="shared" si="29"/>
        <v>0.46091055631039674</v>
      </c>
      <c r="M41" s="29">
        <f t="shared" si="29"/>
        <v>0.42117960041484354</v>
      </c>
      <c r="N41" s="29">
        <f t="shared" si="29"/>
        <v>0.28623671935987915</v>
      </c>
      <c r="O41" s="29">
        <f t="shared" si="29"/>
        <v>0.32098494460991867</v>
      </c>
      <c r="P41" s="29">
        <f t="shared" si="29"/>
        <v>0.32372056923070436</v>
      </c>
      <c r="Q41" s="29">
        <f t="shared" si="29"/>
        <v>0.45118359415958925</v>
      </c>
      <c r="R41" s="29">
        <f t="shared" si="29"/>
        <v>0.72306064815735804</v>
      </c>
      <c r="S41" s="29">
        <f t="shared" si="29"/>
        <v>0.72927300329924938</v>
      </c>
      <c r="T41" s="29">
        <f t="shared" si="29"/>
        <v>0.69714789078823691</v>
      </c>
      <c r="U41" s="29">
        <f t="shared" si="29"/>
        <v>0.5516841639422666</v>
      </c>
      <c r="V41" s="29">
        <f t="shared" si="29"/>
        <v>0.46568627450980388</v>
      </c>
      <c r="W41" s="29">
        <f t="shared" si="29"/>
        <v>0.47557471264367823</v>
      </c>
      <c r="X41" s="29">
        <f t="shared" si="29"/>
        <v>0.69468486970684051</v>
      </c>
      <c r="Y41" s="29">
        <f t="shared" si="29"/>
        <v>0.64510198492462312</v>
      </c>
      <c r="Z41" s="29">
        <f t="shared" si="29"/>
        <v>0.5723951285520974</v>
      </c>
      <c r="AA41" s="29">
        <f t="shared" si="29"/>
        <v>0.49948240165631475</v>
      </c>
      <c r="AB41" s="29">
        <f t="shared" ref="AB41:AC41" si="30">AB20/AB19</f>
        <v>0.53329369797859694</v>
      </c>
      <c r="AC41" s="29">
        <f t="shared" si="30"/>
        <v>0.58173326414115201</v>
      </c>
      <c r="AD41" s="1"/>
      <c r="AE41" s="1"/>
    </row>
    <row r="42" spans="1:31" x14ac:dyDescent="0.3">
      <c r="A42" s="16" t="s">
        <v>81</v>
      </c>
      <c r="B42" s="17" t="s">
        <v>43</v>
      </c>
      <c r="C42" s="1" t="s">
        <v>60</v>
      </c>
      <c r="D42" s="30" t="e">
        <f t="shared" ref="D42:AA42" si="31">(D20-D21)/D19</f>
        <v>#DIV/0!</v>
      </c>
      <c r="E42" s="30" t="e">
        <f t="shared" si="31"/>
        <v>#DIV/0!</v>
      </c>
      <c r="F42" s="30">
        <f t="shared" si="31"/>
        <v>0.19863994273443092</v>
      </c>
      <c r="G42" s="30">
        <f t="shared" si="31"/>
        <v>0.31204047217537945</v>
      </c>
      <c r="H42" s="30">
        <f t="shared" si="31"/>
        <v>0.3131949711653832</v>
      </c>
      <c r="I42" s="30">
        <f t="shared" si="31"/>
        <v>0.32643874888826474</v>
      </c>
      <c r="J42" s="30">
        <f t="shared" si="31"/>
        <v>0.26015414628583428</v>
      </c>
      <c r="K42" s="30">
        <f t="shared" si="31"/>
        <v>0.4416598716960084</v>
      </c>
      <c r="L42" s="30">
        <f t="shared" si="31"/>
        <v>0.40060484108853239</v>
      </c>
      <c r="M42" s="30">
        <f t="shared" si="31"/>
        <v>0.35749035634262777</v>
      </c>
      <c r="N42" s="30">
        <f t="shared" si="31"/>
        <v>0.24557701406417151</v>
      </c>
      <c r="O42" s="30">
        <f t="shared" si="31"/>
        <v>0.27327065588266858</v>
      </c>
      <c r="P42" s="30">
        <f t="shared" si="31"/>
        <v>0.27704284675559121</v>
      </c>
      <c r="Q42" s="30">
        <f t="shared" si="31"/>
        <v>0.40141458684587189</v>
      </c>
      <c r="R42" s="30">
        <f t="shared" si="31"/>
        <v>0.65931087100299335</v>
      </c>
      <c r="S42" s="30">
        <f t="shared" si="31"/>
        <v>0.66661649637301768</v>
      </c>
      <c r="T42" s="30">
        <f t="shared" si="31"/>
        <v>0.63824372060879309</v>
      </c>
      <c r="U42" s="30">
        <f t="shared" si="31"/>
        <v>0.47440057629446963</v>
      </c>
      <c r="V42" s="30">
        <f t="shared" si="31"/>
        <v>0.36867112745098035</v>
      </c>
      <c r="W42" s="30">
        <f t="shared" si="31"/>
        <v>0.36478346264367822</v>
      </c>
      <c r="X42" s="30">
        <f t="shared" si="31"/>
        <v>0.60065220684039089</v>
      </c>
      <c r="Y42" s="30">
        <f t="shared" si="31"/>
        <v>0.54384648241206035</v>
      </c>
      <c r="Z42" s="30">
        <f t="shared" si="31"/>
        <v>0.49391069012178618</v>
      </c>
      <c r="AA42" s="30">
        <f t="shared" si="31"/>
        <v>0.43737060041407871</v>
      </c>
      <c r="AB42" s="30">
        <f t="shared" ref="AB42:AC42" si="32">(AB20-AB21)/AB19</f>
        <v>0.46432818073721766</v>
      </c>
      <c r="AC42" s="30">
        <f t="shared" si="32"/>
        <v>0.51167618059159314</v>
      </c>
      <c r="AD42" s="1"/>
      <c r="AE42" s="1"/>
    </row>
    <row r="43" spans="1:31" x14ac:dyDescent="0.3">
      <c r="A43" s="18" t="s">
        <v>82</v>
      </c>
      <c r="B43" s="49" t="s">
        <v>44</v>
      </c>
      <c r="C43" s="6" t="s">
        <v>62</v>
      </c>
      <c r="D43" s="29" t="e">
        <f t="shared" ref="D43:AA43" si="33">D14/D19</f>
        <v>#DIV/0!</v>
      </c>
      <c r="E43" s="29" t="e">
        <f t="shared" si="33"/>
        <v>#DIV/0!</v>
      </c>
      <c r="F43" s="29">
        <f t="shared" si="33"/>
        <v>-9.1954903364352178E-2</v>
      </c>
      <c r="G43" s="29">
        <f t="shared" si="33"/>
        <v>1.3780775716694772E-2</v>
      </c>
      <c r="H43" s="29">
        <f t="shared" si="33"/>
        <v>4.0048199617066328E-2</v>
      </c>
      <c r="I43" s="29">
        <f t="shared" si="33"/>
        <v>0.12462538614172525</v>
      </c>
      <c r="J43" s="29">
        <f t="shared" si="33"/>
        <v>5.1630924749515951E-2</v>
      </c>
      <c r="K43" s="29">
        <f t="shared" si="33"/>
        <v>5.7644248580672658E-2</v>
      </c>
      <c r="L43" s="29">
        <f t="shared" si="33"/>
        <v>0.13164122594681138</v>
      </c>
      <c r="M43" s="29">
        <f t="shared" si="33"/>
        <v>0.12294057667156824</v>
      </c>
      <c r="N43" s="29">
        <f t="shared" si="33"/>
        <v>7.3760010972175896E-2</v>
      </c>
      <c r="O43" s="29">
        <f t="shared" si="33"/>
        <v>0.14854745881793927</v>
      </c>
      <c r="P43" s="29">
        <f t="shared" si="33"/>
        <v>8.2922871922639169E-2</v>
      </c>
      <c r="Q43" s="29">
        <f t="shared" si="33"/>
        <v>0.246409079848873</v>
      </c>
      <c r="R43" s="29">
        <f t="shared" si="33"/>
        <v>0.4489630015311229</v>
      </c>
      <c r="S43" s="29">
        <f t="shared" si="33"/>
        <v>0.51164046510864047</v>
      </c>
      <c r="T43" s="29">
        <f t="shared" si="33"/>
        <v>0.44764493721048088</v>
      </c>
      <c r="U43" s="29">
        <f t="shared" si="33"/>
        <v>0.34046703708156206</v>
      </c>
      <c r="V43" s="29">
        <f t="shared" si="33"/>
        <v>0.22167944444444443</v>
      </c>
      <c r="W43" s="29">
        <f t="shared" si="33"/>
        <v>0.20791784482758621</v>
      </c>
      <c r="X43" s="29">
        <f t="shared" si="33"/>
        <v>0.37947882736156352</v>
      </c>
      <c r="Y43" s="29">
        <f t="shared" si="33"/>
        <v>0.33584589614740368</v>
      </c>
      <c r="Z43" s="29">
        <f t="shared" si="33"/>
        <v>0.28281461434370769</v>
      </c>
      <c r="AA43" s="29">
        <f t="shared" si="33"/>
        <v>0.26552795031055898</v>
      </c>
      <c r="AB43" s="29">
        <f t="shared" ref="AB43:AC43" si="34">AB14/AB19</f>
        <v>0.31212841854934603</v>
      </c>
      <c r="AC43" s="29">
        <f t="shared" si="34"/>
        <v>0.37882719252724445</v>
      </c>
      <c r="AD43" s="1"/>
      <c r="AE43" s="1"/>
    </row>
    <row r="44" spans="1:31" x14ac:dyDescent="0.3">
      <c r="A44" s="16" t="s">
        <v>83</v>
      </c>
      <c r="B44" s="17" t="s">
        <v>45</v>
      </c>
      <c r="C44" s="1" t="s">
        <v>63</v>
      </c>
      <c r="D44" s="30" t="e">
        <f t="shared" ref="D44:AA44" si="35">D29/D7</f>
        <v>#DIV/0!</v>
      </c>
      <c r="E44" s="30" t="e">
        <f t="shared" si="35"/>
        <v>#DIV/0!</v>
      </c>
      <c r="F44" s="30">
        <f t="shared" si="35"/>
        <v>0.43758582834331344</v>
      </c>
      <c r="G44" s="30">
        <f t="shared" si="35"/>
        <v>0.33969727891156465</v>
      </c>
      <c r="H44" s="30">
        <f t="shared" si="35"/>
        <v>1.0967358782521237</v>
      </c>
      <c r="I44" s="30">
        <f t="shared" si="35"/>
        <v>0.99352724338282761</v>
      </c>
      <c r="J44" s="30">
        <f t="shared" si="35"/>
        <v>1.4912008988764045</v>
      </c>
      <c r="K44" s="30">
        <f t="shared" si="35"/>
        <v>1.3422056345177666</v>
      </c>
      <c r="L44" s="30">
        <f t="shared" si="35"/>
        <v>0.86846676724137939</v>
      </c>
      <c r="M44" s="30">
        <f t="shared" si="35"/>
        <v>0.5468804149377593</v>
      </c>
      <c r="N44" s="30">
        <f t="shared" si="35"/>
        <v>2.6573798561151083</v>
      </c>
      <c r="O44" s="30">
        <f t="shared" si="35"/>
        <v>1.796545092592593</v>
      </c>
      <c r="P44" s="30">
        <f t="shared" si="35"/>
        <v>1.6740426285714285</v>
      </c>
      <c r="Q44" s="30">
        <f t="shared" si="35"/>
        <v>1.1985450588235294</v>
      </c>
      <c r="R44" s="30">
        <f t="shared" si="35"/>
        <v>0.99723015479876176</v>
      </c>
      <c r="S44" s="30">
        <f t="shared" si="35"/>
        <v>1.2158339484978542</v>
      </c>
      <c r="T44" s="30">
        <f t="shared" si="35"/>
        <v>1.6426797660818713</v>
      </c>
      <c r="U44" s="30">
        <f t="shared" si="35"/>
        <v>1.3175745698924732</v>
      </c>
      <c r="V44" s="30">
        <f t="shared" si="35"/>
        <v>0.99343377952755896</v>
      </c>
      <c r="W44" s="30">
        <f t="shared" si="35"/>
        <v>0.88574672782874619</v>
      </c>
      <c r="X44" s="30">
        <f t="shared" si="35"/>
        <v>2.5513054553173427</v>
      </c>
      <c r="Y44" s="30">
        <f t="shared" si="35"/>
        <v>2.1155136268343813</v>
      </c>
      <c r="Z44" s="30">
        <f t="shared" si="35"/>
        <v>1.5852459016393443</v>
      </c>
      <c r="AA44" s="30">
        <f t="shared" si="35"/>
        <v>3.4440354692989792</v>
      </c>
      <c r="AB44" s="30">
        <f t="shared" ref="AB44:AC44" si="36">AB29/AB7</f>
        <v>10.158256880733944</v>
      </c>
      <c r="AC44" s="30">
        <f t="shared" si="36"/>
        <v>5.3503105590062114</v>
      </c>
      <c r="AD44" s="1"/>
      <c r="AE44" s="1"/>
    </row>
    <row r="45" spans="1:31" x14ac:dyDescent="0.3">
      <c r="A45" s="18" t="s">
        <v>84</v>
      </c>
      <c r="B45" s="54" t="s">
        <v>99</v>
      </c>
      <c r="C45" s="6" t="s">
        <v>64</v>
      </c>
      <c r="D45" s="29" t="e">
        <f t="shared" ref="D45:AA45" si="37">D18/D23</f>
        <v>#DIV/0!</v>
      </c>
      <c r="E45" s="29" t="e">
        <f t="shared" si="37"/>
        <v>#DIV/0!</v>
      </c>
      <c r="F45" s="29">
        <f t="shared" si="37"/>
        <v>0.25061314255431899</v>
      </c>
      <c r="G45" s="29">
        <f t="shared" si="37"/>
        <v>0.24993502222222222</v>
      </c>
      <c r="H45" s="29">
        <f t="shared" si="37"/>
        <v>1.5817718949943891</v>
      </c>
      <c r="I45" s="29">
        <f t="shared" si="37"/>
        <v>1.7732791108131278</v>
      </c>
      <c r="J45" s="29">
        <f t="shared" si="37"/>
        <v>1.9433009754394321</v>
      </c>
      <c r="K45" s="29">
        <f t="shared" si="37"/>
        <v>1.7480888577602702</v>
      </c>
      <c r="L45" s="29">
        <f t="shared" si="37"/>
        <v>1.5857069596157096</v>
      </c>
      <c r="M45" s="29">
        <f t="shared" si="37"/>
        <v>1.2539800996251653</v>
      </c>
      <c r="N45" s="29">
        <f t="shared" si="37"/>
        <v>2.1891044300490727</v>
      </c>
      <c r="O45" s="29">
        <f t="shared" si="37"/>
        <v>1.9844195737999231</v>
      </c>
      <c r="P45" s="29">
        <f t="shared" si="37"/>
        <v>1.5621414044982525</v>
      </c>
      <c r="Q45" s="29">
        <f t="shared" si="37"/>
        <v>1.3304907741929495</v>
      </c>
      <c r="R45" s="29">
        <f t="shared" si="37"/>
        <v>1.1239555414989586</v>
      </c>
      <c r="S45" s="29">
        <f t="shared" si="37"/>
        <v>0.9831004526214181</v>
      </c>
      <c r="T45" s="29">
        <f t="shared" si="37"/>
        <v>0.92095881750813813</v>
      </c>
      <c r="U45" s="29">
        <f t="shared" si="37"/>
        <v>0.82788484195458112</v>
      </c>
      <c r="V45" s="29">
        <f t="shared" si="37"/>
        <v>0.80956306677658707</v>
      </c>
      <c r="W45" s="29">
        <f t="shared" si="37"/>
        <v>0.85758275596612776</v>
      </c>
      <c r="X45" s="29">
        <f t="shared" si="37"/>
        <v>1.778364116094987</v>
      </c>
      <c r="Y45" s="29">
        <f t="shared" si="37"/>
        <v>1.28738690792975</v>
      </c>
      <c r="Z45" s="29">
        <f t="shared" si="37"/>
        <v>1.1903353057199211</v>
      </c>
      <c r="AA45" s="29">
        <f t="shared" si="37"/>
        <v>2.6339410939691441</v>
      </c>
      <c r="AB45" s="29">
        <f t="shared" ref="AB45:AC45" si="38">AB18/AB23</f>
        <v>3.6628278950735762</v>
      </c>
      <c r="AC45" s="29">
        <f t="shared" si="38"/>
        <v>4.2751824817518251</v>
      </c>
      <c r="AD45" s="1"/>
      <c r="AE45" s="1"/>
    </row>
    <row r="46" spans="1:31" x14ac:dyDescent="0.3">
      <c r="A46" s="18" t="s">
        <v>97</v>
      </c>
      <c r="B46" s="17" t="s">
        <v>100</v>
      </c>
      <c r="C46" s="6" t="s">
        <v>111</v>
      </c>
      <c r="D46" s="28">
        <f t="shared" ref="D46:AE46" si="39">D13/D4</f>
        <v>0</v>
      </c>
      <c r="E46" s="28">
        <f t="shared" si="39"/>
        <v>0</v>
      </c>
      <c r="F46" s="28">
        <f t="shared" si="39"/>
        <v>4.9916527545909844E-3</v>
      </c>
      <c r="G46" s="28">
        <f t="shared" si="39"/>
        <v>1.8178807947019867E-2</v>
      </c>
      <c r="H46" s="28">
        <f t="shared" si="39"/>
        <v>2.3605150214592273E-2</v>
      </c>
      <c r="I46" s="28">
        <f t="shared" si="39"/>
        <v>2.6442307692307692E-2</v>
      </c>
      <c r="J46" s="28">
        <f t="shared" si="39"/>
        <v>2.8350515463917526E-2</v>
      </c>
      <c r="K46" s="28">
        <f t="shared" si="39"/>
        <v>2.5345622119815669E-2</v>
      </c>
      <c r="L46" s="28">
        <f t="shared" si="39"/>
        <v>2.0220588235294115E-2</v>
      </c>
      <c r="M46" s="28">
        <f t="shared" si="39"/>
        <v>1.6516516516516516E-2</v>
      </c>
      <c r="N46" s="28">
        <f t="shared" si="39"/>
        <v>1.014760147601476E-2</v>
      </c>
      <c r="O46" s="28">
        <f t="shared" si="39"/>
        <v>8.634222919937205E-3</v>
      </c>
      <c r="P46" s="28">
        <f t="shared" si="39"/>
        <v>1.4360313315926894E-2</v>
      </c>
      <c r="Q46" s="28">
        <f t="shared" si="39"/>
        <v>1.07421875E-2</v>
      </c>
      <c r="R46" s="28">
        <f t="shared" si="39"/>
        <v>1.2222222222222223E-2</v>
      </c>
      <c r="S46" s="28">
        <f t="shared" si="39"/>
        <v>2.4336283185840711E-2</v>
      </c>
      <c r="T46" s="28">
        <f t="shared" si="39"/>
        <v>2.4730215827338128E-2</v>
      </c>
      <c r="U46" s="28">
        <f t="shared" si="39"/>
        <v>1.5988372093023256E-2</v>
      </c>
      <c r="V46" s="28">
        <f t="shared" si="39"/>
        <v>1.4550264550264551E-2</v>
      </c>
      <c r="W46" s="28">
        <f t="shared" si="39"/>
        <v>2.0202020202020204E-2</v>
      </c>
      <c r="X46" s="28">
        <f t="shared" si="39"/>
        <v>1.2004801920768308E-2</v>
      </c>
      <c r="Y46" s="28">
        <f t="shared" si="39"/>
        <v>9.8716683119447184E-3</v>
      </c>
      <c r="Z46" s="28">
        <f t="shared" si="39"/>
        <v>1.2658227848101266E-2</v>
      </c>
      <c r="AA46" s="28">
        <f t="shared" si="39"/>
        <v>1.2500000000000001E-2</v>
      </c>
      <c r="AB46" s="28">
        <f t="shared" si="39"/>
        <v>0</v>
      </c>
      <c r="AC46" s="28">
        <f t="shared" si="39"/>
        <v>0</v>
      </c>
      <c r="AD46" s="28">
        <f t="shared" si="39"/>
        <v>4.0160642570281121E-3</v>
      </c>
      <c r="AE46" s="28">
        <f t="shared" si="39"/>
        <v>1.4056224899598393E-2</v>
      </c>
    </row>
    <row r="56" spans="32:38" x14ac:dyDescent="0.3">
      <c r="AF56" s="9" t="s">
        <v>126</v>
      </c>
      <c r="AG56" s="8" t="s">
        <v>139</v>
      </c>
      <c r="AH56" s="8" t="s">
        <v>140</v>
      </c>
      <c r="AI56" s="8" t="s">
        <v>141</v>
      </c>
      <c r="AJ56" s="8" t="s">
        <v>142</v>
      </c>
      <c r="AK56" s="8" t="s">
        <v>127</v>
      </c>
      <c r="AL56" s="8" t="s">
        <v>128</v>
      </c>
    </row>
    <row r="57" spans="32:38" x14ac:dyDescent="0.3">
      <c r="AF57" s="1" t="s">
        <v>129</v>
      </c>
      <c r="AG57" s="20">
        <v>189.12</v>
      </c>
      <c r="AH57" s="1">
        <v>220.03</v>
      </c>
      <c r="AI57" s="35">
        <v>23.22</v>
      </c>
      <c r="AJ57" s="20">
        <v>10.69</v>
      </c>
      <c r="AK57" s="30">
        <f>AG57/AI57</f>
        <v>8.1447028423772618</v>
      </c>
      <c r="AL57" s="30">
        <f>AH57/AJ57</f>
        <v>20.582787652011227</v>
      </c>
    </row>
    <row r="58" spans="32:38" x14ac:dyDescent="0.3">
      <c r="AF58" s="1" t="s">
        <v>130</v>
      </c>
      <c r="AG58" s="20">
        <v>44.16</v>
      </c>
      <c r="AH58" s="1">
        <v>43.09</v>
      </c>
      <c r="AI58" s="35">
        <v>7.55</v>
      </c>
      <c r="AJ58" s="20">
        <v>1.08</v>
      </c>
      <c r="AK58" s="30">
        <f t="shared" ref="AK58:AK66" si="40">AG58/AI58</f>
        <v>5.8490066225165558</v>
      </c>
      <c r="AL58" s="30">
        <f t="shared" ref="AL58:AL66" si="41">AH58/AJ58</f>
        <v>39.898148148148145</v>
      </c>
    </row>
    <row r="59" spans="32:38" x14ac:dyDescent="0.3">
      <c r="AF59" s="1" t="s">
        <v>131</v>
      </c>
      <c r="AG59" s="20">
        <v>36.159999999999997</v>
      </c>
      <c r="AH59" s="1">
        <v>46.92</v>
      </c>
      <c r="AI59" s="35">
        <v>6.58</v>
      </c>
      <c r="AJ59" s="20">
        <v>2.27</v>
      </c>
      <c r="AK59" s="30">
        <f t="shared" si="40"/>
        <v>5.4954407294832821</v>
      </c>
      <c r="AL59" s="30">
        <f t="shared" si="41"/>
        <v>20.669603524229075</v>
      </c>
    </row>
    <row r="60" spans="32:38" x14ac:dyDescent="0.3">
      <c r="AF60" s="1" t="s">
        <v>132</v>
      </c>
      <c r="AG60" s="20">
        <v>27.68</v>
      </c>
      <c r="AH60" s="1">
        <v>19.34</v>
      </c>
      <c r="AI60" s="35">
        <v>9.85</v>
      </c>
      <c r="AJ60" s="20">
        <v>2.6</v>
      </c>
      <c r="AK60" s="30">
        <f t="shared" si="40"/>
        <v>2.8101522842639595</v>
      </c>
      <c r="AL60" s="30">
        <f t="shared" si="41"/>
        <v>7.4384615384615378</v>
      </c>
    </row>
    <row r="61" spans="32:38" x14ac:dyDescent="0.3">
      <c r="AF61" s="1" t="s">
        <v>133</v>
      </c>
      <c r="AG61" s="20">
        <v>30.58</v>
      </c>
      <c r="AH61" s="1">
        <v>30.92</v>
      </c>
      <c r="AI61" s="35">
        <v>4.97</v>
      </c>
      <c r="AJ61" s="20">
        <v>1.81</v>
      </c>
      <c r="AK61" s="30">
        <f t="shared" si="40"/>
        <v>6.1529175050301808</v>
      </c>
      <c r="AL61" s="30">
        <f t="shared" si="41"/>
        <v>17.082872928176798</v>
      </c>
    </row>
    <row r="62" spans="32:38" x14ac:dyDescent="0.3">
      <c r="AF62" s="1" t="s">
        <v>134</v>
      </c>
      <c r="AG62" s="20">
        <v>15.77</v>
      </c>
      <c r="AH62" s="1">
        <v>19.600000000000001</v>
      </c>
      <c r="AI62" s="35">
        <v>4.12</v>
      </c>
      <c r="AJ62" s="20">
        <v>0.79356000000000004</v>
      </c>
      <c r="AK62" s="30">
        <f t="shared" si="40"/>
        <v>3.8276699029126213</v>
      </c>
      <c r="AL62" s="30">
        <f t="shared" si="41"/>
        <v>24.698825545642421</v>
      </c>
    </row>
    <row r="63" spans="32:38" x14ac:dyDescent="0.3">
      <c r="AF63" s="1" t="s">
        <v>135</v>
      </c>
      <c r="AG63" s="20">
        <v>5.1100000000000003</v>
      </c>
      <c r="AH63" s="1">
        <v>7.56</v>
      </c>
      <c r="AI63" s="35">
        <v>1.73</v>
      </c>
      <c r="AJ63" s="20">
        <v>0.41689999999999999</v>
      </c>
      <c r="AK63" s="30">
        <f t="shared" si="40"/>
        <v>2.953757225433526</v>
      </c>
      <c r="AL63" s="30">
        <f t="shared" si="41"/>
        <v>18.133845046773807</v>
      </c>
    </row>
    <row r="64" spans="32:38" x14ac:dyDescent="0.3">
      <c r="AF64" s="1" t="s">
        <v>136</v>
      </c>
      <c r="AG64" s="20">
        <v>5.15</v>
      </c>
      <c r="AH64" s="1">
        <v>5.27</v>
      </c>
      <c r="AI64" s="35">
        <v>0.28249999999999997</v>
      </c>
      <c r="AJ64" s="20">
        <v>7.8200000000000006E-2</v>
      </c>
      <c r="AK64" s="30">
        <f t="shared" si="40"/>
        <v>18.230088495575224</v>
      </c>
      <c r="AL64" s="30">
        <f t="shared" si="41"/>
        <v>67.391304347826079</v>
      </c>
    </row>
    <row r="65" spans="32:38" x14ac:dyDescent="0.3">
      <c r="AF65" s="1" t="s">
        <v>137</v>
      </c>
      <c r="AG65" s="20">
        <v>5.52</v>
      </c>
      <c r="AH65" s="1">
        <v>23</v>
      </c>
      <c r="AI65" s="35">
        <v>2.8</v>
      </c>
      <c r="AJ65" s="20">
        <v>0.65178999999999998</v>
      </c>
      <c r="AK65" s="30">
        <f t="shared" si="40"/>
        <v>1.9714285714285713</v>
      </c>
      <c r="AL65" s="30">
        <f t="shared" si="41"/>
        <v>35.287439205879195</v>
      </c>
    </row>
    <row r="66" spans="32:38" x14ac:dyDescent="0.3">
      <c r="AF66" s="1" t="s">
        <v>138</v>
      </c>
      <c r="AG66" s="20">
        <v>3.3130000000000002</v>
      </c>
      <c r="AH66" s="1">
        <v>3.16</v>
      </c>
      <c r="AI66" s="35">
        <v>0.52286999999999995</v>
      </c>
      <c r="AJ66" s="20">
        <v>1.5509999999999999E-2</v>
      </c>
      <c r="AK66" s="30">
        <f t="shared" si="40"/>
        <v>6.3361829900357654</v>
      </c>
      <c r="AL66" s="30">
        <f t="shared" si="41"/>
        <v>203.73952288845908</v>
      </c>
    </row>
    <row r="67" spans="32:38" x14ac:dyDescent="0.3">
      <c r="AF67" s="108" t="s">
        <v>143</v>
      </c>
      <c r="AG67" s="109"/>
      <c r="AH67" s="109"/>
      <c r="AI67" s="109"/>
      <c r="AJ67" s="109"/>
      <c r="AK67" s="100">
        <f>AVERAGE(AK57:AK66)</f>
        <v>6.1771347169056945</v>
      </c>
      <c r="AL67" s="100">
        <f>AVERAGE(AL57:AL66)</f>
        <v>45.492281082560737</v>
      </c>
    </row>
  </sheetData>
  <mergeCells count="3">
    <mergeCell ref="A6:A13"/>
    <mergeCell ref="A14:A23"/>
    <mergeCell ref="AF67:AJ6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9E975-53CD-4C8C-941F-9779748C25CF}">
  <sheetPr codeName="Planilha20"/>
  <dimension ref="A3:Z46"/>
  <sheetViews>
    <sheetView workbookViewId="0">
      <pane xSplit="3" ySplit="3" topLeftCell="I25" activePane="bottomRight" state="frozen"/>
      <selection activeCell="C22" sqref="C22"/>
      <selection pane="topRight" activeCell="C22" sqref="C22"/>
      <selection pane="bottomLeft" activeCell="C22" sqref="C22"/>
      <selection pane="bottomRight" activeCell="V42" sqref="V42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26" width="8.33203125" customWidth="1"/>
  </cols>
  <sheetData>
    <row r="3" spans="1:26" s="10" customFormat="1" x14ac:dyDescent="0.3">
      <c r="A3" s="9" t="s">
        <v>25</v>
      </c>
      <c r="B3" s="8" t="s">
        <v>23</v>
      </c>
      <c r="C3" s="9" t="s">
        <v>24</v>
      </c>
      <c r="D3" s="8">
        <v>99</v>
      </c>
      <c r="E3" s="8">
        <v>2000</v>
      </c>
      <c r="F3" s="8">
        <v>1</v>
      </c>
      <c r="G3" s="8">
        <v>2</v>
      </c>
      <c r="H3" s="8">
        <v>3</v>
      </c>
      <c r="I3" s="8">
        <v>4</v>
      </c>
      <c r="J3" s="8">
        <v>5</v>
      </c>
      <c r="K3" s="8">
        <v>6</v>
      </c>
      <c r="L3" s="8">
        <v>7</v>
      </c>
      <c r="M3" s="8">
        <v>8</v>
      </c>
      <c r="N3" s="8">
        <v>9</v>
      </c>
      <c r="O3" s="8">
        <v>10</v>
      </c>
      <c r="P3" s="8">
        <v>11</v>
      </c>
      <c r="Q3" s="8">
        <v>12</v>
      </c>
      <c r="R3" s="8">
        <v>13</v>
      </c>
      <c r="S3" s="8">
        <v>14</v>
      </c>
      <c r="T3" s="8">
        <v>15</v>
      </c>
      <c r="U3" s="8">
        <v>16</v>
      </c>
      <c r="V3" s="8">
        <v>17</v>
      </c>
      <c r="W3" s="8">
        <v>18</v>
      </c>
      <c r="X3" s="8">
        <v>19</v>
      </c>
      <c r="Y3" s="8">
        <v>20</v>
      </c>
      <c r="Z3" s="8" t="s">
        <v>3</v>
      </c>
    </row>
    <row r="4" spans="1:26" x14ac:dyDescent="0.3">
      <c r="A4" s="4" t="s">
        <v>5</v>
      </c>
      <c r="B4" s="11">
        <v>1</v>
      </c>
      <c r="C4" s="6" t="s">
        <v>4</v>
      </c>
      <c r="D4" s="19">
        <v>5.79</v>
      </c>
      <c r="E4" s="19">
        <v>3</v>
      </c>
      <c r="F4" s="19">
        <v>1.02</v>
      </c>
      <c r="G4" s="19">
        <v>0.89</v>
      </c>
      <c r="H4" s="19">
        <v>1.75</v>
      </c>
      <c r="I4" s="19">
        <v>2.9</v>
      </c>
      <c r="J4" s="19">
        <v>2.5</v>
      </c>
      <c r="K4" s="19">
        <v>2.34</v>
      </c>
      <c r="L4" s="19">
        <v>2.06</v>
      </c>
      <c r="M4" s="19">
        <v>0.84</v>
      </c>
      <c r="N4" s="19">
        <v>1.79</v>
      </c>
      <c r="O4" s="19">
        <v>1.4</v>
      </c>
      <c r="P4" s="19">
        <v>0.47</v>
      </c>
      <c r="Q4" s="19">
        <v>0.31</v>
      </c>
      <c r="R4" s="19">
        <v>1.0900000000000001</v>
      </c>
      <c r="S4" s="19">
        <v>0.79</v>
      </c>
      <c r="T4" s="19">
        <v>0.47</v>
      </c>
      <c r="U4" s="19">
        <v>0.19</v>
      </c>
      <c r="V4" s="19">
        <v>0.34200000000000003</v>
      </c>
      <c r="W4" s="19">
        <v>0.13639999999999999</v>
      </c>
      <c r="X4" s="19">
        <v>0.21</v>
      </c>
      <c r="Y4" s="19">
        <v>0.14299999999999999</v>
      </c>
      <c r="Z4" s="19">
        <v>0.16300000000000001</v>
      </c>
    </row>
    <row r="5" spans="1:26" x14ac:dyDescent="0.3">
      <c r="A5" s="5" t="s">
        <v>8</v>
      </c>
      <c r="B5" s="12">
        <v>3</v>
      </c>
      <c r="C5" s="1" t="s">
        <v>86</v>
      </c>
      <c r="D5" s="3">
        <v>144</v>
      </c>
      <c r="E5" s="3">
        <v>144</v>
      </c>
      <c r="F5" s="3">
        <v>144</v>
      </c>
      <c r="G5" s="3">
        <v>144</v>
      </c>
      <c r="H5" s="3">
        <v>168</v>
      </c>
      <c r="I5" s="3">
        <v>168</v>
      </c>
      <c r="J5" s="3">
        <v>168</v>
      </c>
      <c r="K5" s="3">
        <v>168</v>
      </c>
      <c r="L5" s="3">
        <v>168</v>
      </c>
      <c r="M5" s="3">
        <v>168</v>
      </c>
      <c r="N5" s="3">
        <v>168</v>
      </c>
      <c r="O5" s="3">
        <v>168</v>
      </c>
      <c r="P5" s="3">
        <v>168</v>
      </c>
      <c r="Q5" s="3">
        <v>168</v>
      </c>
      <c r="R5" s="3">
        <v>168</v>
      </c>
      <c r="S5" s="3">
        <v>168</v>
      </c>
      <c r="T5" s="3">
        <v>168</v>
      </c>
      <c r="U5" s="3">
        <v>168</v>
      </c>
      <c r="V5" s="3">
        <v>168</v>
      </c>
      <c r="W5" s="3">
        <v>168</v>
      </c>
      <c r="X5" s="3">
        <v>168</v>
      </c>
      <c r="Y5" s="3">
        <v>168</v>
      </c>
      <c r="Z5" s="3">
        <v>168</v>
      </c>
    </row>
    <row r="6" spans="1:26" x14ac:dyDescent="0.3">
      <c r="A6" s="110" t="s">
        <v>7</v>
      </c>
      <c r="B6" s="13">
        <v>4</v>
      </c>
      <c r="C6" s="6" t="s">
        <v>104</v>
      </c>
      <c r="D6" s="7">
        <f>(64466316*5)/1000000</f>
        <v>322.33157999999997</v>
      </c>
      <c r="E6" s="7">
        <f>(68178491*5)/1000000</f>
        <v>340.89245499999998</v>
      </c>
      <c r="F6" s="7">
        <v>294.83614899999998</v>
      </c>
      <c r="G6" s="7">
        <v>245.38995399999999</v>
      </c>
      <c r="H6" s="7">
        <f>262684106/1000000</f>
        <v>262.68410599999999</v>
      </c>
      <c r="I6" s="7">
        <f>256264888/1000000</f>
        <v>256.26488799999998</v>
      </c>
      <c r="J6" s="7">
        <f>261253625/1000000</f>
        <v>261.253625</v>
      </c>
      <c r="K6" s="7">
        <f>255237863/1000000</f>
        <v>255.237863</v>
      </c>
      <c r="L6" s="7">
        <f>280116141/1000000</f>
        <v>280.11614100000003</v>
      </c>
      <c r="M6" s="7">
        <f>273084190/1000000</f>
        <v>273.08418999999998</v>
      </c>
      <c r="N6" s="7">
        <f>253216230/1000000</f>
        <v>253.21623</v>
      </c>
      <c r="O6" s="7">
        <f>271146646/1000000</f>
        <v>271.14664599999998</v>
      </c>
      <c r="P6" s="7">
        <f>249791467/1000000</f>
        <v>249.79146700000001</v>
      </c>
      <c r="Q6" s="7">
        <f>228557778/1000000</f>
        <v>228.55777800000001</v>
      </c>
      <c r="R6" s="7">
        <f>237176998/1000000</f>
        <v>237.176998</v>
      </c>
      <c r="S6" s="7">
        <f>237780059/1000000</f>
        <v>237.78005899999999</v>
      </c>
      <c r="T6" s="7">
        <v>227.8</v>
      </c>
      <c r="U6" s="7">
        <v>204.4</v>
      </c>
      <c r="V6" s="7">
        <v>197.2</v>
      </c>
      <c r="W6" s="7">
        <v>170.1</v>
      </c>
      <c r="X6" s="7">
        <v>180.1</v>
      </c>
      <c r="Y6" s="7">
        <v>178.1</v>
      </c>
      <c r="Z6" s="64" t="s">
        <v>101</v>
      </c>
    </row>
    <row r="7" spans="1:26" x14ac:dyDescent="0.3">
      <c r="A7" s="110"/>
      <c r="B7" s="13">
        <v>5</v>
      </c>
      <c r="C7" s="1" t="s">
        <v>9</v>
      </c>
      <c r="D7" s="3">
        <f>D8+(1896148*5/1000000)</f>
        <v>51.994749999999996</v>
      </c>
      <c r="E7" s="3">
        <f>E8+(2680214*5/1000000)</f>
        <v>56.760670000000005</v>
      </c>
      <c r="F7" s="3">
        <f>F8+19.738239</f>
        <v>63.856453999999999</v>
      </c>
      <c r="G7" s="3">
        <f>G8+21.588909</f>
        <v>41.348662000000004</v>
      </c>
      <c r="H7" s="3">
        <f>H8+(26519924/1000000)</f>
        <v>34.197403000000001</v>
      </c>
      <c r="I7" s="3">
        <f>I8+(11188109/1000000)</f>
        <v>52.794377999999995</v>
      </c>
      <c r="J7" s="3">
        <f>J8+(8819104/1000000)</f>
        <v>49.217381000000003</v>
      </c>
      <c r="K7" s="3">
        <f>K8+(7566949/1000000)</f>
        <v>40.416497</v>
      </c>
      <c r="L7" s="3">
        <f>L8+(7469579/1000000)</f>
        <v>46.222424000000004</v>
      </c>
      <c r="M7" s="3">
        <f>M8+(10161005/1000000)</f>
        <v>5.2079169999999992</v>
      </c>
      <c r="N7" s="3">
        <f>N8+(9373768/1000000)</f>
        <v>33.247042</v>
      </c>
      <c r="O7" s="3">
        <f>O8+(8126614/1000000)</f>
        <v>33.689048</v>
      </c>
      <c r="P7" s="3">
        <f>P8+(8174437/1000000)</f>
        <v>-11.04566</v>
      </c>
      <c r="Q7" s="3">
        <f>Q8+(7116916/1000000)</f>
        <v>16.301279999999998</v>
      </c>
      <c r="R7" s="3">
        <f>R8+(5259100/1000000)</f>
        <v>30.350570999999999</v>
      </c>
      <c r="S7" s="3">
        <f>S8+(3811373/1000000)</f>
        <v>31.704584999999998</v>
      </c>
      <c r="T7" s="3">
        <v>22.5</v>
      </c>
      <c r="U7" s="3">
        <v>15.5</v>
      </c>
      <c r="V7" s="3">
        <v>-9.3000000000000007</v>
      </c>
      <c r="W7" s="3">
        <v>15.3</v>
      </c>
      <c r="X7" s="3">
        <v>24.7</v>
      </c>
      <c r="Y7" s="3">
        <v>30.5</v>
      </c>
      <c r="Z7" s="63" t="s">
        <v>101</v>
      </c>
    </row>
    <row r="8" spans="1:26" x14ac:dyDescent="0.3">
      <c r="A8" s="110"/>
      <c r="B8" s="13">
        <v>6</v>
      </c>
      <c r="C8" s="6" t="s">
        <v>10</v>
      </c>
      <c r="D8" s="7">
        <f>(8502802*5)/1000000</f>
        <v>42.514009999999999</v>
      </c>
      <c r="E8" s="7">
        <f>(8671920*5)/1000000</f>
        <v>43.3596</v>
      </c>
      <c r="F8" s="7">
        <v>44.118214999999999</v>
      </c>
      <c r="G8" s="7">
        <v>19.759753</v>
      </c>
      <c r="H8" s="7">
        <f>7677479/1000000</f>
        <v>7.6774789999999999</v>
      </c>
      <c r="I8" s="7">
        <f>41606269/1000000</f>
        <v>41.606268999999998</v>
      </c>
      <c r="J8" s="7">
        <f>40398277/1000000</f>
        <v>40.398277</v>
      </c>
      <c r="K8" s="7">
        <f>32849548/1000000</f>
        <v>32.849547999999999</v>
      </c>
      <c r="L8" s="7">
        <f>38752845/1000000</f>
        <v>38.752845000000001</v>
      </c>
      <c r="M8" s="7">
        <f>-4953088/1000000</f>
        <v>-4.9530880000000002</v>
      </c>
      <c r="N8" s="7">
        <f>23873274/1000000</f>
        <v>23.873273999999999</v>
      </c>
      <c r="O8" s="7">
        <f>25562434/1000000</f>
        <v>25.562434</v>
      </c>
      <c r="P8" s="7">
        <f>-19220097/1000000</f>
        <v>-19.220096999999999</v>
      </c>
      <c r="Q8" s="7">
        <f>9184364/1000000</f>
        <v>9.1843640000000004</v>
      </c>
      <c r="R8" s="7">
        <f>25091471/1000000</f>
        <v>25.091470999999999</v>
      </c>
      <c r="S8" s="7">
        <f>27893212/1000000</f>
        <v>27.893211999999998</v>
      </c>
      <c r="T8" s="7">
        <v>18.7</v>
      </c>
      <c r="U8" s="7">
        <v>12</v>
      </c>
      <c r="V8" s="7">
        <v>-13</v>
      </c>
      <c r="W8" s="7">
        <v>11.8</v>
      </c>
      <c r="X8" s="7">
        <v>18.899999999999999</v>
      </c>
      <c r="Y8" s="7">
        <v>25.2</v>
      </c>
      <c r="Z8" s="64" t="s">
        <v>101</v>
      </c>
    </row>
    <row r="9" spans="1:26" x14ac:dyDescent="0.3">
      <c r="A9" s="110"/>
      <c r="B9" s="13">
        <v>11</v>
      </c>
      <c r="C9" s="1" t="s">
        <v>11</v>
      </c>
      <c r="D9" s="3">
        <f>-(3519317*5)/1000000</f>
        <v>-17.596585000000001</v>
      </c>
      <c r="E9" s="3">
        <f>-(3536185*5)/1000000</f>
        <v>-17.680924999999998</v>
      </c>
      <c r="F9" s="3">
        <v>-21.505016999999999</v>
      </c>
      <c r="G9" s="3">
        <v>-20.995259000000001</v>
      </c>
      <c r="H9" s="3">
        <v>-10.024926000000001</v>
      </c>
      <c r="I9" s="3">
        <v>-9.1280429999999999</v>
      </c>
      <c r="J9" s="3">
        <f t="shared" ref="J9" si="0">J10-J8</f>
        <v>-9.5241840000000018</v>
      </c>
      <c r="K9" s="3">
        <f t="shared" ref="K9" si="1">K10-K8</f>
        <v>-10.424481</v>
      </c>
      <c r="L9" s="3">
        <f t="shared" ref="L9" si="2">L10-L8</f>
        <v>-12.309312000000002</v>
      </c>
      <c r="M9" s="3">
        <f t="shared" ref="M9" si="3">M10-M8</f>
        <v>26.403814000000001</v>
      </c>
      <c r="N9" s="3">
        <f t="shared" ref="N9" si="4">N10-N8</f>
        <v>-12.393273999999998</v>
      </c>
      <c r="O9" s="3">
        <f t="shared" ref="O9" si="5">O10-O8</f>
        <v>-11.851711999999999</v>
      </c>
      <c r="P9" s="3">
        <f t="shared" ref="P9" si="6">P10-P8</f>
        <v>51.860174000000001</v>
      </c>
      <c r="Q9" s="3">
        <f t="shared" ref="Q9" si="7">Q10-Q8</f>
        <v>-13.349277000000001</v>
      </c>
      <c r="R9" s="3">
        <f t="shared" ref="R9:S9" si="8">R10-R8</f>
        <v>-11.801950999999999</v>
      </c>
      <c r="S9" s="3">
        <f t="shared" si="8"/>
        <v>-11.341457999999999</v>
      </c>
      <c r="T9" s="3">
        <v>-11</v>
      </c>
      <c r="U9" s="3">
        <v>-6.3</v>
      </c>
      <c r="V9" s="3">
        <v>-5.8</v>
      </c>
      <c r="W9" s="66">
        <v>-4.3</v>
      </c>
      <c r="X9" s="66">
        <v>-5.8</v>
      </c>
      <c r="Y9" s="66">
        <v>-8.9</v>
      </c>
      <c r="Z9" s="63" t="s">
        <v>101</v>
      </c>
    </row>
    <row r="10" spans="1:26" x14ac:dyDescent="0.3">
      <c r="A10" s="110"/>
      <c r="B10" s="13">
        <v>12</v>
      </c>
      <c r="C10" s="6" t="s">
        <v>12</v>
      </c>
      <c r="D10" s="7">
        <f>(5397485*5)/1000000</f>
        <v>26.987425000000002</v>
      </c>
      <c r="E10" s="7">
        <f>-(8152402*5)/1000000</f>
        <v>-40.762009999999997</v>
      </c>
      <c r="F10" s="7">
        <v>-82.609352000000001</v>
      </c>
      <c r="G10" s="7">
        <v>-40.424005999999999</v>
      </c>
      <c r="H10" s="7">
        <f>-1602738/1000000</f>
        <v>-1.602738</v>
      </c>
      <c r="I10" s="7">
        <f>35881771/1000000</f>
        <v>35.881771000000001</v>
      </c>
      <c r="J10" s="7">
        <f>30874093/1000000</f>
        <v>30.874092999999998</v>
      </c>
      <c r="K10" s="7">
        <f>22425067/1000000</f>
        <v>22.425066999999999</v>
      </c>
      <c r="L10" s="7">
        <f>26443533/1000000</f>
        <v>26.443532999999999</v>
      </c>
      <c r="M10" s="7">
        <f>21450726/1000000</f>
        <v>21.450726</v>
      </c>
      <c r="N10" s="7">
        <f>11480000/1000000</f>
        <v>11.48</v>
      </c>
      <c r="O10" s="7">
        <f>13710722/1000000</f>
        <v>13.710722000000001</v>
      </c>
      <c r="P10" s="7">
        <f>32640077/1000000</f>
        <v>32.640076999999998</v>
      </c>
      <c r="Q10" s="7">
        <f>-4164913/1000000</f>
        <v>-4.1649130000000003</v>
      </c>
      <c r="R10" s="7">
        <f>13289520/1000000</f>
        <v>13.28952</v>
      </c>
      <c r="S10" s="7">
        <f>16551754/1000000</f>
        <v>16.551753999999999</v>
      </c>
      <c r="T10" s="7">
        <v>6.7</v>
      </c>
      <c r="U10" s="7">
        <v>4.7</v>
      </c>
      <c r="V10" s="7">
        <v>-19.7</v>
      </c>
      <c r="W10" s="7">
        <v>6.3</v>
      </c>
      <c r="X10" s="7">
        <v>11.6</v>
      </c>
      <c r="Y10" s="7">
        <v>16.3</v>
      </c>
      <c r="Z10" s="64" t="s">
        <v>101</v>
      </c>
    </row>
    <row r="11" spans="1:26" x14ac:dyDescent="0.3">
      <c r="A11" s="110"/>
      <c r="B11" s="13">
        <v>13</v>
      </c>
      <c r="C11" s="1" t="s">
        <v>13</v>
      </c>
      <c r="D11" s="3">
        <f>(3251606*5)/1000000</f>
        <v>16.258030000000002</v>
      </c>
      <c r="E11" s="3">
        <f>(2975205*5)/1000000</f>
        <v>14.876025</v>
      </c>
      <c r="F11" s="3">
        <v>13.488317</v>
      </c>
      <c r="G11" s="3">
        <v>2.3274309999999998</v>
      </c>
      <c r="H11" s="3">
        <f>5472432/1000000</f>
        <v>5.4724320000000004</v>
      </c>
      <c r="I11" s="3">
        <f>7508639/1000000</f>
        <v>7.5086389999999996</v>
      </c>
      <c r="J11" s="3">
        <f>7235834/1000000</f>
        <v>7.2358339999999997</v>
      </c>
      <c r="K11" s="3">
        <f>3663747/1000000</f>
        <v>3.6637469999999999</v>
      </c>
      <c r="L11" s="3">
        <f>7612375/1000000</f>
        <v>7.6123750000000001</v>
      </c>
      <c r="M11" s="3">
        <f>3613573/1000000</f>
        <v>3.6135730000000001</v>
      </c>
      <c r="N11" s="3">
        <f>11480000/1000000</f>
        <v>11.48</v>
      </c>
      <c r="O11" s="3">
        <f>3768853/1000000</f>
        <v>3.768853</v>
      </c>
      <c r="P11" s="3">
        <f>2404062/1000000</f>
        <v>2.4040620000000001</v>
      </c>
      <c r="Q11" s="3">
        <f>1054665/1000000</f>
        <v>1.054665</v>
      </c>
      <c r="R11" s="3">
        <f>6691991/1000000</f>
        <v>6.6919909999999998</v>
      </c>
      <c r="S11" s="3">
        <f>5545410/1000000</f>
        <v>5.5454100000000004</v>
      </c>
      <c r="T11" s="3">
        <v>2.7</v>
      </c>
      <c r="U11" s="3">
        <v>1.9</v>
      </c>
      <c r="V11" s="3">
        <v>1.9</v>
      </c>
      <c r="W11" s="66">
        <v>3.2</v>
      </c>
      <c r="X11" s="66">
        <v>3.7</v>
      </c>
      <c r="Y11" s="66">
        <v>5.0999999999999996</v>
      </c>
      <c r="Z11" s="63" t="s">
        <v>101</v>
      </c>
    </row>
    <row r="12" spans="1:26" x14ac:dyDescent="0.3">
      <c r="A12" s="110"/>
      <c r="B12" s="13">
        <v>14</v>
      </c>
      <c r="C12" s="6" t="s">
        <v>105</v>
      </c>
      <c r="D12" s="19">
        <f>(11528*5)/1000000</f>
        <v>5.7639999999999997E-2</v>
      </c>
      <c r="E12" s="7">
        <f>-(13442300*5)/1000000</f>
        <v>-67.211500000000001</v>
      </c>
      <c r="F12" s="7">
        <v>-52.242826000000001</v>
      </c>
      <c r="G12" s="7">
        <v>-27.965188000000001</v>
      </c>
      <c r="H12" s="7">
        <f>-10201602/1000000</f>
        <v>-10.201601999999999</v>
      </c>
      <c r="I12" s="7">
        <f>28373132/1000000</f>
        <v>28.373131999999998</v>
      </c>
      <c r="J12" s="7">
        <f>23638259/1000000</f>
        <v>23.638259000000001</v>
      </c>
      <c r="K12" s="7">
        <f>17575740/1000000</f>
        <v>17.57574</v>
      </c>
      <c r="L12" s="7">
        <f>18805474/1000000</f>
        <v>18.805474</v>
      </c>
      <c r="M12" s="7">
        <f>-25422795/1000000</f>
        <v>-25.422795000000001</v>
      </c>
      <c r="N12" s="7">
        <f>7653272/1000000</f>
        <v>7.6532720000000003</v>
      </c>
      <c r="O12" s="7">
        <f>9941869/1000000</f>
        <v>9.9418690000000005</v>
      </c>
      <c r="P12" s="7">
        <f>-35044139/1000000</f>
        <v>-35.044139000000001</v>
      </c>
      <c r="Q12" s="7">
        <f>-5219578/1000000</f>
        <v>-5.2195780000000003</v>
      </c>
      <c r="R12" s="7">
        <f>6597529/1000000</f>
        <v>6.5975289999999998</v>
      </c>
      <c r="S12" s="7">
        <f>11006344/1000000</f>
        <v>11.006344</v>
      </c>
      <c r="T12" s="7">
        <v>4</v>
      </c>
      <c r="U12" s="7">
        <v>2.8</v>
      </c>
      <c r="V12" s="7">
        <v>-21.6</v>
      </c>
      <c r="W12" s="7">
        <v>3.1</v>
      </c>
      <c r="X12" s="7">
        <v>7.8</v>
      </c>
      <c r="Y12" s="7">
        <v>11.2</v>
      </c>
      <c r="Z12" s="64" t="s">
        <v>101</v>
      </c>
    </row>
    <row r="13" spans="1:26" x14ac:dyDescent="0.3">
      <c r="A13" s="110"/>
      <c r="B13" s="13">
        <v>2</v>
      </c>
      <c r="C13" s="1" t="s">
        <v>15</v>
      </c>
      <c r="D13" s="3">
        <f>(193730*5)/1000000</f>
        <v>0.96865000000000001</v>
      </c>
      <c r="E13" s="3">
        <f>(172728*5)/1000000</f>
        <v>0.86363999999999996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22">
        <f>(1641167/100000)/K5</f>
        <v>9.768851190476191E-2</v>
      </c>
      <c r="L13" s="22">
        <f>(1244040/100000)/L5</f>
        <v>7.4050000000000005E-2</v>
      </c>
      <c r="M13" s="22">
        <f>(148417/100000)/M5</f>
        <v>8.8343452380952384E-3</v>
      </c>
      <c r="N13" s="22">
        <f>(1898223/100000)/N5</f>
        <v>0.1129894642857143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66">
        <v>0</v>
      </c>
    </row>
    <row r="14" spans="1:26" x14ac:dyDescent="0.3">
      <c r="A14" s="111" t="s">
        <v>14</v>
      </c>
      <c r="B14" s="14">
        <v>8</v>
      </c>
      <c r="C14" s="6" t="s">
        <v>16</v>
      </c>
      <c r="D14" s="7">
        <f>(9780195*5)/1000000</f>
        <v>48.900975000000003</v>
      </c>
      <c r="E14" s="7">
        <f>(6131404*5)/1000000</f>
        <v>30.657019999999999</v>
      </c>
      <c r="F14" s="7">
        <v>-14.338976000000001</v>
      </c>
      <c r="G14" s="7">
        <v>-9.6316520000000008</v>
      </c>
      <c r="H14" s="7">
        <f>9886550/1000000</f>
        <v>9.8865499999999997</v>
      </c>
      <c r="I14" s="7">
        <f>20893381/1000000</f>
        <v>20.893381000000002</v>
      </c>
      <c r="J14" s="7">
        <f>20480633/1000000</f>
        <v>20.480633000000001</v>
      </c>
      <c r="K14" s="7">
        <f>15340633/1000000</f>
        <v>15.340633</v>
      </c>
      <c r="L14" s="7">
        <f>23913175/1000000</f>
        <v>23.913174999999999</v>
      </c>
      <c r="M14" s="7">
        <f>1076716/1000000</f>
        <v>1.076716</v>
      </c>
      <c r="N14" s="7">
        <f>-6929006/1000000</f>
        <v>-6.9290060000000002</v>
      </c>
      <c r="O14" s="7">
        <f>-7018281/1000000</f>
        <v>-7.018281</v>
      </c>
      <c r="P14" s="7">
        <f>-15363654/1000000</f>
        <v>-15.363654</v>
      </c>
      <c r="Q14" s="7">
        <f>-14324576/1000000</f>
        <v>-14.324576</v>
      </c>
      <c r="R14" s="7">
        <f>6401213/1000000</f>
        <v>6.4012130000000003</v>
      </c>
      <c r="S14" s="7">
        <v>4.8</v>
      </c>
      <c r="T14" s="7">
        <v>3.5</v>
      </c>
      <c r="U14" s="7">
        <v>3.5</v>
      </c>
      <c r="V14" s="7">
        <v>3.8</v>
      </c>
      <c r="W14" s="7">
        <f>1799368/1000000</f>
        <v>1.7993680000000001</v>
      </c>
      <c r="X14" s="37">
        <v>2.5</v>
      </c>
      <c r="Y14" s="7">
        <v>8.6999999999999993</v>
      </c>
      <c r="Z14" s="7">
        <v>8.6999999999999993</v>
      </c>
    </row>
    <row r="15" spans="1:26" x14ac:dyDescent="0.3">
      <c r="A15" s="112"/>
      <c r="B15" s="14">
        <v>7</v>
      </c>
      <c r="C15" s="1" t="s">
        <v>17</v>
      </c>
      <c r="D15" s="3">
        <f>(16780392+4245930)*5/1000000</f>
        <v>105.13160999999999</v>
      </c>
      <c r="E15" s="3">
        <f>(14962440+5230134)*5/1000000</f>
        <v>100.96287</v>
      </c>
      <c r="F15" s="3">
        <f>86.986428+36.076713</f>
        <v>123.063141</v>
      </c>
      <c r="G15" s="3">
        <f>111.173989+47.061999</f>
        <v>158.23598800000002</v>
      </c>
      <c r="H15" s="3">
        <f>(120307377+49787936)/1000000</f>
        <v>170.095313</v>
      </c>
      <c r="I15" s="3">
        <f>(95585503+17496830)/1000000</f>
        <v>113.08233300000001</v>
      </c>
      <c r="J15" s="3">
        <f>(215724941+19053550)/1000000</f>
        <v>234.778491</v>
      </c>
      <c r="K15" s="3">
        <f>(210153936+18952163)/1000000</f>
        <v>229.106099</v>
      </c>
      <c r="L15" s="3">
        <f>(182298978+32037113)/1000000</f>
        <v>214.33609100000001</v>
      </c>
      <c r="M15" s="3">
        <f>(192442809+17529769+58163179+2422819)/1000000</f>
        <v>270.55857600000002</v>
      </c>
      <c r="N15" s="3">
        <f>(187057328+14498318+49345573+2456885)/1000000</f>
        <v>253.358104</v>
      </c>
      <c r="O15" s="3">
        <f>(158659228+14243413+61564768+3239744)/1000000</f>
        <v>237.70715300000001</v>
      </c>
      <c r="P15" s="3">
        <f>(149223689+14334606+68051444+4294686)/1000000</f>
        <v>235.904425</v>
      </c>
      <c r="Q15" s="3">
        <f>(146121284+10984550+59858586+3710383)/1000000</f>
        <v>220.674803</v>
      </c>
      <c r="R15" s="3">
        <f>(126592167+8066251+63063025+3028626)/1000000</f>
        <v>200.750069</v>
      </c>
      <c r="S15" s="3">
        <v>189.4</v>
      </c>
      <c r="T15" s="3">
        <v>182.3</v>
      </c>
      <c r="U15" s="3">
        <v>186.7</v>
      </c>
      <c r="V15" s="3">
        <v>182.2</v>
      </c>
      <c r="W15" s="3">
        <v>188.8</v>
      </c>
      <c r="X15" s="3">
        <v>168.9</v>
      </c>
      <c r="Y15" s="3">
        <v>161.5</v>
      </c>
      <c r="Z15" s="3">
        <v>163.1</v>
      </c>
    </row>
    <row r="16" spans="1:26" x14ac:dyDescent="0.3">
      <c r="A16" s="112"/>
      <c r="B16" s="14">
        <v>9</v>
      </c>
      <c r="C16" s="6" t="s">
        <v>92</v>
      </c>
      <c r="D16" s="7">
        <f>(6381478*5)/1000000</f>
        <v>31.907389999999999</v>
      </c>
      <c r="E16" s="7">
        <f>(6736685*5)/1000000</f>
        <v>33.683425</v>
      </c>
      <c r="F16" s="7">
        <v>21.866651999999998</v>
      </c>
      <c r="G16" s="7">
        <v>12.827648</v>
      </c>
      <c r="H16" s="7">
        <f>15699543/1000000</f>
        <v>15.699543</v>
      </c>
      <c r="I16" s="7">
        <f>23928032/1000000</f>
        <v>23.928032000000002</v>
      </c>
      <c r="J16" s="7">
        <f>3461196/1000000</f>
        <v>3.4611960000000002</v>
      </c>
      <c r="K16" s="7">
        <f>3176807/1000000</f>
        <v>3.1768070000000002</v>
      </c>
      <c r="L16" s="7">
        <f>3527657/1000000</f>
        <v>3.527657</v>
      </c>
      <c r="M16" s="7">
        <f>3680805/1000000</f>
        <v>3.6808049999999999</v>
      </c>
      <c r="N16" s="19">
        <f>91775/1000000</f>
        <v>9.1774999999999995E-2</v>
      </c>
      <c r="O16" s="19">
        <f>-246931/1000000</f>
        <v>-0.24693100000000001</v>
      </c>
      <c r="P16" s="19">
        <f>54825/1000000</f>
        <v>5.4824999999999999E-2</v>
      </c>
      <c r="Q16" s="19">
        <f>59926/1000000</f>
        <v>5.9926E-2</v>
      </c>
      <c r="R16" s="19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</row>
    <row r="17" spans="1:26" x14ac:dyDescent="0.3">
      <c r="A17" s="112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</row>
    <row r="18" spans="1:26" x14ac:dyDescent="0.3">
      <c r="A18" s="112"/>
      <c r="B18" s="14">
        <v>15</v>
      </c>
      <c r="C18" s="6" t="s">
        <v>19</v>
      </c>
      <c r="D18" s="7">
        <f>(48068205*5)/1000000</f>
        <v>240.341025</v>
      </c>
      <c r="E18" s="7">
        <f>(40679812*5)/1000000</f>
        <v>203.39905999999999</v>
      </c>
      <c r="F18" s="7">
        <v>239.32466600000001</v>
      </c>
      <c r="G18" s="7">
        <v>327.14428700000002</v>
      </c>
      <c r="H18" s="7">
        <f>290025492/1000000</f>
        <v>290.02549199999999</v>
      </c>
      <c r="I18" s="7">
        <f>192983424/1000000</f>
        <v>192.98342400000001</v>
      </c>
      <c r="J18" s="7">
        <f>450299733/1000000</f>
        <v>450.299733</v>
      </c>
      <c r="K18" s="7">
        <f>468848427/1000000</f>
        <v>468.84842700000002</v>
      </c>
      <c r="L18" s="7">
        <f>501782696/1000000</f>
        <v>501.78269599999999</v>
      </c>
      <c r="M18" s="7">
        <f>519071075/1000000</f>
        <v>519.07107499999995</v>
      </c>
      <c r="N18" s="7">
        <f>503977238/1000000</f>
        <v>503.977238</v>
      </c>
      <c r="O18" s="7">
        <f>484403263/1000000</f>
        <v>484.40326299999998</v>
      </c>
      <c r="P18" s="7">
        <f>441809872/1000000</f>
        <v>441.80987199999998</v>
      </c>
      <c r="Q18" s="7">
        <f>421043040/1000000</f>
        <v>421.04304000000002</v>
      </c>
      <c r="R18" s="7">
        <f>295012646/1000000</f>
        <v>295.01264600000002</v>
      </c>
      <c r="S18" s="7">
        <v>269.5</v>
      </c>
      <c r="T18" s="7">
        <v>261.7</v>
      </c>
      <c r="U18" s="7">
        <v>269.7</v>
      </c>
      <c r="V18" s="7">
        <v>265.89999999999998</v>
      </c>
      <c r="W18" s="7">
        <v>271.3</v>
      </c>
      <c r="X18" s="7">
        <v>247.7</v>
      </c>
      <c r="Y18" s="7">
        <v>247.1</v>
      </c>
      <c r="Z18" s="7">
        <v>239</v>
      </c>
    </row>
    <row r="19" spans="1:26" x14ac:dyDescent="0.3">
      <c r="A19" s="112"/>
      <c r="B19" s="14">
        <v>18</v>
      </c>
      <c r="C19" s="1" t="s">
        <v>21</v>
      </c>
      <c r="D19" s="3">
        <f>(23582631*5)/1000000</f>
        <v>117.913155</v>
      </c>
      <c r="E19" s="3">
        <f>(19594003*5)/1000000</f>
        <v>97.970015000000004</v>
      </c>
      <c r="F19" s="3">
        <v>140.86206899999999</v>
      </c>
      <c r="G19" s="3">
        <v>132.224467</v>
      </c>
      <c r="H19" s="3">
        <f>117119106/1000000</f>
        <v>117.119106</v>
      </c>
      <c r="I19" s="3">
        <v>84.389140999999995</v>
      </c>
      <c r="J19" s="3">
        <f>84436103/1000000</f>
        <v>84.436103000000003</v>
      </c>
      <c r="K19" s="3">
        <f>90822333/1000000</f>
        <v>90.822333</v>
      </c>
      <c r="L19" s="3">
        <f>127496476/1000000</f>
        <v>127.496476</v>
      </c>
      <c r="M19" s="3">
        <f>144934015/1000000</f>
        <v>144.93401499999999</v>
      </c>
      <c r="N19" s="3">
        <f>140874714/1000000</f>
        <v>140.87471400000001</v>
      </c>
      <c r="O19" s="3">
        <f>147864659/1000000</f>
        <v>147.86465899999999</v>
      </c>
      <c r="P19" s="3">
        <f>149845275/1000000</f>
        <v>149.84527499999999</v>
      </c>
      <c r="Q19" s="3">
        <f>138350355/1000000</f>
        <v>138.35035500000001</v>
      </c>
      <c r="R19" s="3">
        <f>153987274/1000000</f>
        <v>153.98727400000001</v>
      </c>
      <c r="S19" s="3">
        <f>122481456/1000000</f>
        <v>122.48145599999999</v>
      </c>
      <c r="T19" s="3">
        <f>110650300/1000000</f>
        <v>110.6503</v>
      </c>
      <c r="U19" s="3">
        <f>130682451/1000000</f>
        <v>130.68245099999999</v>
      </c>
      <c r="V19" s="3">
        <f>175657972/1000000</f>
        <v>175.657972</v>
      </c>
      <c r="W19" s="3">
        <v>163</v>
      </c>
      <c r="X19" s="3">
        <v>120</v>
      </c>
      <c r="Y19" s="3">
        <v>105.5</v>
      </c>
      <c r="Z19" s="3">
        <v>86.3</v>
      </c>
    </row>
    <row r="20" spans="1:26" x14ac:dyDescent="0.3">
      <c r="A20" s="112"/>
      <c r="B20" s="14">
        <v>17</v>
      </c>
      <c r="C20" s="6" t="s">
        <v>22</v>
      </c>
      <c r="D20" s="7">
        <f>(12245090+12198217+9735961)*5/1000000</f>
        <v>170.89634000000001</v>
      </c>
      <c r="E20" s="7">
        <f>(5210323+16641917+6116740)*5/1000000</f>
        <v>139.8449</v>
      </c>
      <c r="F20" s="7">
        <f>42.832908+82.596317+5.810479</f>
        <v>131.23970399999999</v>
      </c>
      <c r="G20" s="7">
        <f>42.322285+67.511316+10.32866</f>
        <v>120.16226099999999</v>
      </c>
      <c r="H20" s="7">
        <f>(38226945+69702721+20961811)/1000000</f>
        <v>128.89147700000001</v>
      </c>
      <c r="I20" s="7">
        <v>90.679237999999998</v>
      </c>
      <c r="J20" s="7">
        <f>86227665/1000000</f>
        <v>86.227665000000002</v>
      </c>
      <c r="K20" s="7">
        <f>91741323/1000000</f>
        <v>91.741322999999994</v>
      </c>
      <c r="L20" s="7">
        <f>110128122/1000000</f>
        <v>110.128122</v>
      </c>
      <c r="M20" s="7">
        <f>84465194/1000000</f>
        <v>84.465193999999997</v>
      </c>
      <c r="N20" s="7">
        <f>78040590/1000000</f>
        <v>78.040589999999995</v>
      </c>
      <c r="O20" s="7">
        <f>71151763/1000000</f>
        <v>71.151763000000003</v>
      </c>
      <c r="P20" s="7">
        <f>65594356/1000000</f>
        <v>65.594356000000005</v>
      </c>
      <c r="Q20" s="7">
        <f>55895347/1000000</f>
        <v>55.895347000000001</v>
      </c>
      <c r="R20" s="7">
        <f>62315579/1000000</f>
        <v>62.315579</v>
      </c>
      <c r="S20" s="7">
        <v>49.1</v>
      </c>
      <c r="T20" s="7">
        <v>50.7</v>
      </c>
      <c r="U20" s="7">
        <v>64.099999999999994</v>
      </c>
      <c r="V20" s="7">
        <v>58.4</v>
      </c>
      <c r="W20" s="7">
        <v>67.599999999999994</v>
      </c>
      <c r="X20" s="7">
        <v>54.5</v>
      </c>
      <c r="Y20" s="7">
        <v>65.2</v>
      </c>
      <c r="Z20" s="7">
        <v>64</v>
      </c>
    </row>
    <row r="21" spans="1:26" x14ac:dyDescent="0.3">
      <c r="A21" s="112"/>
      <c r="B21" s="14">
        <v>19</v>
      </c>
      <c r="C21" s="1" t="s">
        <v>88</v>
      </c>
      <c r="D21" s="3">
        <f>(12245090*5)/1000000</f>
        <v>61.225450000000002</v>
      </c>
      <c r="E21" s="3">
        <f>(5210323*5)/1000000</f>
        <v>26.051615000000002</v>
      </c>
      <c r="F21" s="3">
        <f>42.832908</f>
        <v>42.832908000000003</v>
      </c>
      <c r="G21" s="3">
        <f>42.322285</f>
        <v>42.322285000000001</v>
      </c>
      <c r="H21" s="3">
        <f>38226945/1000000</f>
        <v>38.226945000000001</v>
      </c>
      <c r="I21" s="3">
        <v>3.119437</v>
      </c>
      <c r="J21" s="3">
        <f>4380295/1000000</f>
        <v>4.3802950000000003</v>
      </c>
      <c r="K21" s="3">
        <f>3126456/1000000</f>
        <v>3.1264560000000001</v>
      </c>
      <c r="L21" s="3">
        <f>2770918/1000000</f>
        <v>2.770918</v>
      </c>
      <c r="M21" s="3">
        <f>3249108/1000000</f>
        <v>3.2491080000000001</v>
      </c>
      <c r="N21" s="3">
        <f>1916265/1000000</f>
        <v>1.9162650000000001</v>
      </c>
      <c r="O21" s="3">
        <f>2779369/1000000</f>
        <v>2.779369</v>
      </c>
      <c r="P21" s="3">
        <f>3270330/1000000</f>
        <v>3.27033</v>
      </c>
      <c r="Q21" s="3">
        <f>2015074/1000000</f>
        <v>2.0150739999999998</v>
      </c>
      <c r="R21" s="3">
        <f>2197058/1000000</f>
        <v>2.1970580000000002</v>
      </c>
      <c r="S21" s="3">
        <f>1850673/1000000</f>
        <v>1.850673</v>
      </c>
      <c r="T21" s="3">
        <v>1.9</v>
      </c>
      <c r="U21" s="3">
        <v>1.4</v>
      </c>
      <c r="V21" s="35">
        <v>0.4</v>
      </c>
      <c r="W21" s="3">
        <v>0.5</v>
      </c>
      <c r="X21" s="3">
        <v>0.3</v>
      </c>
      <c r="Y21" s="3">
        <v>0.3</v>
      </c>
      <c r="Z21" s="3">
        <v>0.3</v>
      </c>
    </row>
    <row r="22" spans="1:26" x14ac:dyDescent="0.3">
      <c r="A22" s="112"/>
      <c r="B22" s="14">
        <v>20</v>
      </c>
      <c r="C22" s="6" t="s">
        <v>87</v>
      </c>
      <c r="D22" s="7">
        <f>(9222088+7236)*5/1000000</f>
        <v>46.146619999999999</v>
      </c>
      <c r="E22" s="7">
        <f>(9497531+19825)*5/1000000</f>
        <v>47.586779999999997</v>
      </c>
      <c r="F22" s="7">
        <f>47.249281+0.056316</f>
        <v>47.305597000000006</v>
      </c>
      <c r="G22" s="7">
        <f>40.982068+0.442459</f>
        <v>41.424526999999998</v>
      </c>
      <c r="H22" s="7">
        <f>(52105960+119602)/1000000</f>
        <v>52.225561999999996</v>
      </c>
      <c r="I22" s="7">
        <v>42.344946999999998</v>
      </c>
      <c r="J22" s="7">
        <f>38158166/1000000</f>
        <v>38.158166000000001</v>
      </c>
      <c r="K22" s="7">
        <f>45750492/1000000</f>
        <v>45.750492000000001</v>
      </c>
      <c r="L22" s="7">
        <f>48962522/1000000</f>
        <v>48.962522</v>
      </c>
      <c r="M22" s="7">
        <f>44546796/1000000</f>
        <v>44.546796000000001</v>
      </c>
      <c r="N22" s="7">
        <f>39247730/1000000</f>
        <v>39.247729999999997</v>
      </c>
      <c r="O22" s="7">
        <f>32031089/1000000</f>
        <v>32.031089000000001</v>
      </c>
      <c r="P22" s="7">
        <f>28966387/1000000</f>
        <v>28.966387000000001</v>
      </c>
      <c r="Q22" s="7">
        <f>28843939/1000000</f>
        <v>28.843938999999999</v>
      </c>
      <c r="R22" s="7">
        <f>37456394/1000000</f>
        <v>37.456394000000003</v>
      </c>
      <c r="S22" s="7">
        <v>24.7</v>
      </c>
      <c r="T22" s="7">
        <v>19.3</v>
      </c>
      <c r="U22" s="7">
        <v>37.299999999999997</v>
      </c>
      <c r="V22" s="7">
        <v>34.299999999999997</v>
      </c>
      <c r="W22" s="7">
        <v>30.9</v>
      </c>
      <c r="X22" s="7">
        <v>28.3</v>
      </c>
      <c r="Y22" s="7">
        <v>30.7</v>
      </c>
      <c r="Z22" s="7">
        <v>29</v>
      </c>
    </row>
    <row r="23" spans="1:26" x14ac:dyDescent="0.3">
      <c r="A23" s="112"/>
      <c r="B23" s="14">
        <v>16</v>
      </c>
      <c r="C23" s="1" t="s">
        <v>20</v>
      </c>
      <c r="D23" s="3">
        <f>(24530911*5)/1000000</f>
        <v>122.654555</v>
      </c>
      <c r="E23" s="3">
        <f>(33666150*5)/1000000</f>
        <v>168.33074999999999</v>
      </c>
      <c r="F23" s="3">
        <v>116.62559899999999</v>
      </c>
      <c r="G23" s="3">
        <v>87.829307</v>
      </c>
      <c r="H23" s="3">
        <f>95652942/1000000</f>
        <v>95.652941999999996</v>
      </c>
      <c r="I23" s="3">
        <v>135.59472700000001</v>
      </c>
      <c r="J23" s="3">
        <f>137135520/1000000</f>
        <v>137.13552000000001</v>
      </c>
      <c r="K23" s="3">
        <f>153314689/1000000</f>
        <v>153.31468899999999</v>
      </c>
      <c r="L23" s="3">
        <f>171754384/1000000</f>
        <v>171.75438399999999</v>
      </c>
      <c r="M23" s="3">
        <f>145008110/1000000</f>
        <v>145.00810999999999</v>
      </c>
      <c r="N23" s="3">
        <f>149202093/1000000</f>
        <v>149.20209299999999</v>
      </c>
      <c r="O23" s="3">
        <f>158842465/1000000</f>
        <v>158.842465</v>
      </c>
      <c r="P23" s="3">
        <f>123849895/1000000</f>
        <v>123.849895</v>
      </c>
      <c r="Q23" s="3">
        <f>118961283/1000000</f>
        <v>118.96128299999999</v>
      </c>
      <c r="R23" s="3">
        <f>126865222/1000000</f>
        <v>126.865222</v>
      </c>
      <c r="S23" s="3">
        <v>137.6</v>
      </c>
      <c r="T23" s="32">
        <v>141.80000000000001</v>
      </c>
      <c r="U23" s="32">
        <v>143.9</v>
      </c>
      <c r="V23" s="3">
        <v>122.4</v>
      </c>
      <c r="W23" s="3">
        <v>125.4</v>
      </c>
      <c r="X23" s="3">
        <v>133.1</v>
      </c>
      <c r="Y23" s="3">
        <v>144.1</v>
      </c>
      <c r="Z23" s="3">
        <v>147.5</v>
      </c>
    </row>
    <row r="25" spans="1:26" x14ac:dyDescent="0.3">
      <c r="A25" s="9" t="s">
        <v>71</v>
      </c>
      <c r="B25" s="8"/>
      <c r="C25" s="9" t="s">
        <v>26</v>
      </c>
      <c r="D25" s="8">
        <v>99</v>
      </c>
      <c r="E25" s="8">
        <v>2000</v>
      </c>
      <c r="F25" s="8">
        <v>1</v>
      </c>
      <c r="G25" s="8">
        <v>2</v>
      </c>
      <c r="H25" s="8">
        <v>3</v>
      </c>
      <c r="I25" s="8">
        <v>4</v>
      </c>
      <c r="J25" s="8">
        <v>5</v>
      </c>
      <c r="K25" s="8">
        <v>6</v>
      </c>
      <c r="L25" s="8">
        <v>7</v>
      </c>
      <c r="M25" s="8">
        <v>8</v>
      </c>
      <c r="N25" s="8">
        <v>9</v>
      </c>
      <c r="O25" s="8">
        <v>10</v>
      </c>
      <c r="P25" s="8">
        <v>11</v>
      </c>
      <c r="Q25" s="8">
        <v>12</v>
      </c>
      <c r="R25" s="8">
        <v>13</v>
      </c>
      <c r="S25" s="8">
        <v>14</v>
      </c>
      <c r="T25" s="8">
        <v>15</v>
      </c>
      <c r="U25" s="8">
        <v>16</v>
      </c>
      <c r="V25" s="8">
        <v>17</v>
      </c>
      <c r="W25" s="8">
        <v>18</v>
      </c>
      <c r="X25" s="8">
        <v>19</v>
      </c>
      <c r="Y25" s="8">
        <v>20</v>
      </c>
      <c r="Z25" s="8" t="s">
        <v>3</v>
      </c>
    </row>
    <row r="26" spans="1:26" x14ac:dyDescent="0.3">
      <c r="A26" s="6" t="s">
        <v>65</v>
      </c>
      <c r="B26" s="17" t="s">
        <v>27</v>
      </c>
      <c r="C26" s="6" t="s">
        <v>85</v>
      </c>
      <c r="D26" s="7">
        <f t="shared" ref="D26:Z26" si="9">D4*D5</f>
        <v>833.76</v>
      </c>
      <c r="E26" s="7">
        <f t="shared" si="9"/>
        <v>432</v>
      </c>
      <c r="F26" s="7">
        <f t="shared" si="9"/>
        <v>146.88</v>
      </c>
      <c r="G26" s="7">
        <f t="shared" si="9"/>
        <v>128.16</v>
      </c>
      <c r="H26" s="7">
        <f t="shared" si="9"/>
        <v>294</v>
      </c>
      <c r="I26" s="7">
        <f t="shared" si="9"/>
        <v>487.2</v>
      </c>
      <c r="J26" s="7">
        <f t="shared" si="9"/>
        <v>420</v>
      </c>
      <c r="K26" s="7">
        <f t="shared" si="9"/>
        <v>393.12</v>
      </c>
      <c r="L26" s="7">
        <f t="shared" ref="L26:W26" si="10">L4*L5</f>
        <v>346.08</v>
      </c>
      <c r="M26" s="7">
        <f t="shared" si="10"/>
        <v>141.12</v>
      </c>
      <c r="N26" s="7">
        <f t="shared" si="10"/>
        <v>300.72000000000003</v>
      </c>
      <c r="O26" s="7">
        <f t="shared" si="10"/>
        <v>235.2</v>
      </c>
      <c r="P26" s="7">
        <f t="shared" si="10"/>
        <v>78.959999999999994</v>
      </c>
      <c r="Q26" s="7">
        <f t="shared" si="10"/>
        <v>52.08</v>
      </c>
      <c r="R26" s="7">
        <f t="shared" si="10"/>
        <v>183.12</v>
      </c>
      <c r="S26" s="7">
        <f t="shared" si="10"/>
        <v>132.72</v>
      </c>
      <c r="T26" s="7">
        <f t="shared" si="10"/>
        <v>78.959999999999994</v>
      </c>
      <c r="U26" s="7">
        <f t="shared" si="10"/>
        <v>31.92</v>
      </c>
      <c r="V26" s="7">
        <f t="shared" si="10"/>
        <v>57.456000000000003</v>
      </c>
      <c r="W26" s="7">
        <f t="shared" si="10"/>
        <v>22.915199999999999</v>
      </c>
      <c r="X26" s="7">
        <f t="shared" si="9"/>
        <v>35.28</v>
      </c>
      <c r="Y26" s="7">
        <f t="shared" si="9"/>
        <v>24.023999999999997</v>
      </c>
      <c r="Z26" s="7">
        <f t="shared" si="9"/>
        <v>27.384</v>
      </c>
    </row>
    <row r="27" spans="1:26" x14ac:dyDescent="0.3">
      <c r="A27" s="1" t="s">
        <v>66</v>
      </c>
      <c r="B27" s="2" t="s">
        <v>28</v>
      </c>
      <c r="C27" s="1" t="s">
        <v>47</v>
      </c>
      <c r="D27" s="30">
        <f t="shared" ref="D27:Y27" si="11">D26/D6</f>
        <v>2.5866531600782028</v>
      </c>
      <c r="E27" s="30">
        <f t="shared" si="11"/>
        <v>1.2672618406881433</v>
      </c>
      <c r="F27" s="30">
        <f t="shared" si="11"/>
        <v>0.49817500499234918</v>
      </c>
      <c r="G27" s="30">
        <f t="shared" si="11"/>
        <v>0.52227076907965031</v>
      </c>
      <c r="H27" s="30">
        <f t="shared" si="11"/>
        <v>1.119215031609107</v>
      </c>
      <c r="I27" s="30">
        <f t="shared" si="11"/>
        <v>1.9011578363400297</v>
      </c>
      <c r="J27" s="30">
        <f t="shared" si="11"/>
        <v>1.6076331955202536</v>
      </c>
      <c r="K27" s="30">
        <f t="shared" si="11"/>
        <v>1.5402103566428935</v>
      </c>
      <c r="L27" s="30">
        <f t="shared" ref="L27:W27" si="12">L26/L6</f>
        <v>1.2354875330086743</v>
      </c>
      <c r="M27" s="30">
        <f t="shared" si="12"/>
        <v>0.51676371305127555</v>
      </c>
      <c r="N27" s="30">
        <f t="shared" si="12"/>
        <v>1.1876016004187411</v>
      </c>
      <c r="O27" s="30">
        <f t="shared" si="12"/>
        <v>0.86742728877420827</v>
      </c>
      <c r="P27" s="30">
        <f t="shared" si="12"/>
        <v>0.31610367218828972</v>
      </c>
      <c r="Q27" s="30">
        <f t="shared" si="12"/>
        <v>0.22786360829951713</v>
      </c>
      <c r="R27" s="30">
        <f t="shared" si="12"/>
        <v>0.77208161644747697</v>
      </c>
      <c r="S27" s="30">
        <f t="shared" si="12"/>
        <v>0.55816286932622894</v>
      </c>
      <c r="T27" s="30">
        <f t="shared" si="12"/>
        <v>0.34661984196663737</v>
      </c>
      <c r="U27" s="30">
        <f t="shared" si="12"/>
        <v>0.15616438356164383</v>
      </c>
      <c r="V27" s="30">
        <f t="shared" si="12"/>
        <v>0.29135902636916838</v>
      </c>
      <c r="W27" s="30">
        <f t="shared" si="12"/>
        <v>0.13471604938271606</v>
      </c>
      <c r="X27" s="30">
        <f t="shared" si="11"/>
        <v>0.19589117157134928</v>
      </c>
      <c r="Y27" s="30">
        <f t="shared" si="11"/>
        <v>0.13489051094890511</v>
      </c>
      <c r="Z27" s="30"/>
    </row>
    <row r="28" spans="1:26" x14ac:dyDescent="0.3">
      <c r="A28" s="6" t="s">
        <v>67</v>
      </c>
      <c r="B28" s="17" t="s">
        <v>29</v>
      </c>
      <c r="C28" s="6" t="s">
        <v>48</v>
      </c>
      <c r="D28" s="29">
        <f t="shared" ref="D28:Y28" si="13">D26/D7</f>
        <v>16.035465119074523</v>
      </c>
      <c r="E28" s="29">
        <f t="shared" si="13"/>
        <v>7.610903817731538</v>
      </c>
      <c r="F28" s="29">
        <f t="shared" si="13"/>
        <v>2.3001590410892532</v>
      </c>
      <c r="G28" s="29">
        <f t="shared" si="13"/>
        <v>3.0994956983130431</v>
      </c>
      <c r="H28" s="29">
        <f t="shared" si="13"/>
        <v>8.5971440579859237</v>
      </c>
      <c r="I28" s="29">
        <f t="shared" si="13"/>
        <v>9.2282553267319489</v>
      </c>
      <c r="J28" s="29">
        <f t="shared" si="13"/>
        <v>8.5335706912157718</v>
      </c>
      <c r="K28" s="29">
        <f t="shared" si="13"/>
        <v>9.7267212445452653</v>
      </c>
      <c r="L28" s="29">
        <f t="shared" ref="L28:W28" si="14">L26/L7</f>
        <v>7.4872750074725625</v>
      </c>
      <c r="M28" s="29">
        <f t="shared" si="14"/>
        <v>27.097206042262201</v>
      </c>
      <c r="N28" s="29">
        <f t="shared" si="14"/>
        <v>9.0450151926297693</v>
      </c>
      <c r="O28" s="29">
        <f t="shared" si="14"/>
        <v>6.9814973697089924</v>
      </c>
      <c r="P28" s="29">
        <f t="shared" si="14"/>
        <v>-7.1485090071575623</v>
      </c>
      <c r="Q28" s="29">
        <f t="shared" si="14"/>
        <v>3.1948411413091491</v>
      </c>
      <c r="R28" s="29">
        <f t="shared" si="14"/>
        <v>6.033494394553566</v>
      </c>
      <c r="S28" s="29">
        <f t="shared" si="14"/>
        <v>4.1861453162058426</v>
      </c>
      <c r="T28" s="29">
        <f t="shared" si="14"/>
        <v>3.5093333333333332</v>
      </c>
      <c r="U28" s="29">
        <f t="shared" si="14"/>
        <v>2.0593548387096776</v>
      </c>
      <c r="V28" s="29">
        <f t="shared" si="14"/>
        <v>-6.178064516129032</v>
      </c>
      <c r="W28" s="29">
        <f t="shared" si="14"/>
        <v>1.4977254901960784</v>
      </c>
      <c r="X28" s="29">
        <f t="shared" si="13"/>
        <v>1.42834008097166</v>
      </c>
      <c r="Y28" s="29">
        <f t="shared" si="13"/>
        <v>0.78767213114754087</v>
      </c>
      <c r="Z28" s="29"/>
    </row>
    <row r="29" spans="1:26" x14ac:dyDescent="0.3">
      <c r="A29" s="15" t="s">
        <v>68</v>
      </c>
      <c r="B29" s="2" t="s">
        <v>30</v>
      </c>
      <c r="C29" s="1" t="s">
        <v>49</v>
      </c>
      <c r="D29" s="3">
        <f t="shared" ref="D29:Z29" si="15">D15-D14</f>
        <v>56.230634999999992</v>
      </c>
      <c r="E29" s="3">
        <f t="shared" si="15"/>
        <v>70.305849999999992</v>
      </c>
      <c r="F29" s="3">
        <f t="shared" si="15"/>
        <v>137.402117</v>
      </c>
      <c r="G29" s="3">
        <f t="shared" si="15"/>
        <v>167.86764000000002</v>
      </c>
      <c r="H29" s="3">
        <f t="shared" si="15"/>
        <v>160.208763</v>
      </c>
      <c r="I29" s="3">
        <f t="shared" si="15"/>
        <v>92.188952</v>
      </c>
      <c r="J29" s="3">
        <f t="shared" si="15"/>
        <v>214.29785799999999</v>
      </c>
      <c r="K29" s="3">
        <f t="shared" si="15"/>
        <v>213.765466</v>
      </c>
      <c r="L29" s="3">
        <f t="shared" ref="L29:Q29" si="16">L15-L14</f>
        <v>190.42291600000001</v>
      </c>
      <c r="M29" s="3">
        <f t="shared" si="16"/>
        <v>269.48186000000004</v>
      </c>
      <c r="N29" s="3">
        <f t="shared" si="16"/>
        <v>260.28710999999998</v>
      </c>
      <c r="O29" s="3">
        <f t="shared" si="16"/>
        <v>244.72543400000001</v>
      </c>
      <c r="P29" s="3">
        <f t="shared" si="16"/>
        <v>251.268079</v>
      </c>
      <c r="Q29" s="3">
        <f t="shared" si="16"/>
        <v>234.999379</v>
      </c>
      <c r="R29" s="3">
        <f t="shared" ref="R29:U29" si="17">R15-R14</f>
        <v>194.34885599999998</v>
      </c>
      <c r="S29" s="3">
        <f t="shared" si="17"/>
        <v>184.6</v>
      </c>
      <c r="T29" s="3">
        <f t="shared" si="17"/>
        <v>178.8</v>
      </c>
      <c r="U29" s="3">
        <f t="shared" si="17"/>
        <v>183.2</v>
      </c>
      <c r="V29" s="3">
        <f>V15-U14</f>
        <v>178.7</v>
      </c>
      <c r="W29" s="3">
        <f>W15-V14</f>
        <v>185</v>
      </c>
      <c r="X29" s="3">
        <f>X15-W14</f>
        <v>167.10063200000002</v>
      </c>
      <c r="Y29" s="3">
        <f t="shared" si="15"/>
        <v>152.80000000000001</v>
      </c>
      <c r="Z29" s="3">
        <f t="shared" si="15"/>
        <v>154.4</v>
      </c>
    </row>
    <row r="30" spans="1:26" x14ac:dyDescent="0.3">
      <c r="A30" s="6" t="s">
        <v>69</v>
      </c>
      <c r="B30" s="17" t="s">
        <v>31</v>
      </c>
      <c r="C30" s="6" t="s">
        <v>50</v>
      </c>
      <c r="D30" s="7">
        <f t="shared" ref="D30:X30" si="18">D26+D29+D16+D17</f>
        <v>921.89802499999996</v>
      </c>
      <c r="E30" s="7">
        <f t="shared" si="18"/>
        <v>535.98927499999991</v>
      </c>
      <c r="F30" s="7">
        <f t="shared" si="18"/>
        <v>306.14876899999996</v>
      </c>
      <c r="G30" s="7">
        <f t="shared" si="18"/>
        <v>308.85528800000003</v>
      </c>
      <c r="H30" s="7">
        <f t="shared" si="18"/>
        <v>469.90830599999998</v>
      </c>
      <c r="I30" s="7">
        <f t="shared" si="18"/>
        <v>603.31698400000005</v>
      </c>
      <c r="J30" s="7">
        <f t="shared" si="18"/>
        <v>637.75905399999999</v>
      </c>
      <c r="K30" s="7">
        <f t="shared" si="18"/>
        <v>610.062273</v>
      </c>
      <c r="L30" s="7">
        <f t="shared" ref="L30:W30" si="19">L26+L29+L16+L17</f>
        <v>540.030573</v>
      </c>
      <c r="M30" s="7">
        <f t="shared" si="19"/>
        <v>414.28266500000007</v>
      </c>
      <c r="N30" s="7">
        <f t="shared" si="19"/>
        <v>561.098885</v>
      </c>
      <c r="O30" s="7">
        <f t="shared" si="19"/>
        <v>479.67850299999998</v>
      </c>
      <c r="P30" s="7">
        <f t="shared" si="19"/>
        <v>330.28290399999997</v>
      </c>
      <c r="Q30" s="7">
        <f t="shared" si="19"/>
        <v>287.13930500000004</v>
      </c>
      <c r="R30" s="7">
        <f t="shared" ref="R30:U30" si="20">R26+R29+R16+R17</f>
        <v>377.46885599999996</v>
      </c>
      <c r="S30" s="7">
        <f t="shared" si="20"/>
        <v>317.32</v>
      </c>
      <c r="T30" s="7">
        <f t="shared" si="20"/>
        <v>257.76</v>
      </c>
      <c r="U30" s="7">
        <f t="shared" si="20"/>
        <v>215.12</v>
      </c>
      <c r="V30" s="7">
        <f t="shared" si="19"/>
        <v>236.15600000000001</v>
      </c>
      <c r="W30" s="7">
        <f t="shared" si="19"/>
        <v>207.9152</v>
      </c>
      <c r="X30" s="7">
        <f t="shared" si="18"/>
        <v>202.38063200000002</v>
      </c>
      <c r="Y30" s="7">
        <f t="shared" ref="Y30" si="21">Y26+Y29+Y16+Y17</f>
        <v>176.82400000000001</v>
      </c>
      <c r="Z30" s="7"/>
    </row>
    <row r="31" spans="1:26" x14ac:dyDescent="0.3">
      <c r="A31" s="1" t="s">
        <v>70</v>
      </c>
      <c r="B31" s="2" t="s">
        <v>32</v>
      </c>
      <c r="C31" s="1" t="s">
        <v>51</v>
      </c>
      <c r="D31" s="30">
        <f t="shared" ref="D31:X31" si="22">D30/D7</f>
        <v>17.730598281557274</v>
      </c>
      <c r="E31" s="30">
        <f t="shared" si="22"/>
        <v>9.4429694892607827</v>
      </c>
      <c r="F31" s="30">
        <f t="shared" si="22"/>
        <v>4.7943277432849616</v>
      </c>
      <c r="G31" s="30">
        <f t="shared" si="22"/>
        <v>7.4695352415514682</v>
      </c>
      <c r="H31" s="30">
        <f t="shared" si="22"/>
        <v>13.741052383422213</v>
      </c>
      <c r="I31" s="30">
        <f t="shared" si="22"/>
        <v>11.427674817951262</v>
      </c>
      <c r="J31" s="30">
        <f t="shared" si="22"/>
        <v>12.958004693504515</v>
      </c>
      <c r="K31" s="30">
        <f t="shared" si="22"/>
        <v>15.094387645718035</v>
      </c>
      <c r="L31" s="30">
        <f t="shared" ref="L31:W31" si="23">L30/L7</f>
        <v>11.683302740678419</v>
      </c>
      <c r="M31" s="30">
        <f t="shared" si="23"/>
        <v>79.548630479326022</v>
      </c>
      <c r="N31" s="30">
        <f t="shared" si="23"/>
        <v>16.876655823997815</v>
      </c>
      <c r="O31" s="30">
        <f t="shared" si="23"/>
        <v>14.238410744049519</v>
      </c>
      <c r="P31" s="30">
        <f t="shared" si="23"/>
        <v>-29.901599723330246</v>
      </c>
      <c r="Q31" s="30">
        <f t="shared" si="23"/>
        <v>17.614525055701151</v>
      </c>
      <c r="R31" s="30">
        <f t="shared" ref="R31:U31" si="24">R30/R7</f>
        <v>12.436960609406656</v>
      </c>
      <c r="S31" s="30">
        <f t="shared" si="24"/>
        <v>10.008647014304083</v>
      </c>
      <c r="T31" s="30">
        <f t="shared" si="24"/>
        <v>11.456</v>
      </c>
      <c r="U31" s="30">
        <f t="shared" si="24"/>
        <v>13.878709677419355</v>
      </c>
      <c r="V31" s="30">
        <f t="shared" si="23"/>
        <v>-25.39311827956989</v>
      </c>
      <c r="W31" s="30">
        <f t="shared" si="23"/>
        <v>13.589228758169934</v>
      </c>
      <c r="X31" s="30">
        <f t="shared" si="22"/>
        <v>8.1935478542510136</v>
      </c>
      <c r="Y31" s="30">
        <f t="shared" ref="Y31" si="25">Y30/Y7</f>
        <v>5.7975081967213118</v>
      </c>
      <c r="Z31" s="30"/>
    </row>
    <row r="32" spans="1:26" x14ac:dyDescent="0.3">
      <c r="A32" s="18" t="s">
        <v>72</v>
      </c>
      <c r="B32" s="17" t="s">
        <v>33</v>
      </c>
      <c r="C32" s="6" t="s">
        <v>109</v>
      </c>
      <c r="D32" s="27">
        <f t="shared" ref="D32:K32" si="26">D7/D6</f>
        <v>0.16130827143899459</v>
      </c>
      <c r="E32" s="27">
        <f t="shared" si="26"/>
        <v>0.16650609060854693</v>
      </c>
      <c r="F32" s="27">
        <f t="shared" si="26"/>
        <v>0.21658285192159393</v>
      </c>
      <c r="G32" s="27">
        <f t="shared" si="26"/>
        <v>0.16850185317692348</v>
      </c>
      <c r="H32" s="27">
        <f t="shared" si="26"/>
        <v>0.13018451523671556</v>
      </c>
      <c r="I32" s="27">
        <f t="shared" si="26"/>
        <v>0.20601487161206414</v>
      </c>
      <c r="J32" s="27">
        <f t="shared" si="26"/>
        <v>0.18838927498135194</v>
      </c>
      <c r="K32" s="27">
        <f t="shared" si="26"/>
        <v>0.15834835993749094</v>
      </c>
      <c r="L32" s="27">
        <f t="shared" ref="L32:W32" si="27">L7/L6</f>
        <v>0.16501164065372442</v>
      </c>
      <c r="M32" s="27">
        <f t="shared" si="27"/>
        <v>1.9070737855604161E-2</v>
      </c>
      <c r="N32" s="27">
        <f t="shared" si="27"/>
        <v>0.13129901665465915</v>
      </c>
      <c r="O32" s="27">
        <f t="shared" si="27"/>
        <v>0.12424659680282382</v>
      </c>
      <c r="P32" s="27">
        <f t="shared" si="27"/>
        <v>-4.42195249207612E-2</v>
      </c>
      <c r="Q32" s="27">
        <f t="shared" si="27"/>
        <v>7.1322359460459922E-2</v>
      </c>
      <c r="R32" s="27">
        <f t="shared" si="27"/>
        <v>0.12796591261349888</v>
      </c>
      <c r="S32" s="27">
        <f t="shared" si="27"/>
        <v>0.13333576050630888</v>
      </c>
      <c r="T32" s="27">
        <f t="shared" si="27"/>
        <v>9.8770851624231784E-2</v>
      </c>
      <c r="U32" s="27">
        <f t="shared" si="27"/>
        <v>7.5831702544031307E-2</v>
      </c>
      <c r="V32" s="27">
        <f t="shared" si="27"/>
        <v>-4.7160243407707921E-2</v>
      </c>
      <c r="W32" s="27">
        <f t="shared" si="27"/>
        <v>8.9947089947089956E-2</v>
      </c>
      <c r="X32" s="27">
        <f t="shared" ref="X32:Y32" si="28">X7/X6</f>
        <v>0.13714602998334258</v>
      </c>
      <c r="Y32" s="27">
        <f t="shared" si="28"/>
        <v>0.1712521055586749</v>
      </c>
      <c r="Z32" s="27"/>
    </row>
    <row r="33" spans="1:26" x14ac:dyDescent="0.3">
      <c r="A33" s="16" t="s">
        <v>73</v>
      </c>
      <c r="B33" s="2" t="s">
        <v>34</v>
      </c>
      <c r="C33" s="1" t="s">
        <v>110</v>
      </c>
      <c r="D33" s="28">
        <f t="shared" ref="D33:K33" si="29">D8/D6</f>
        <v>0.13189526759990444</v>
      </c>
      <c r="E33" s="28">
        <f t="shared" si="29"/>
        <v>0.127194366915513</v>
      </c>
      <c r="F33" s="28">
        <f t="shared" si="29"/>
        <v>0.14963638329165668</v>
      </c>
      <c r="G33" s="28">
        <f t="shared" si="29"/>
        <v>8.0523887298173585E-2</v>
      </c>
      <c r="H33" s="28">
        <f t="shared" si="29"/>
        <v>2.9227040481847807E-2</v>
      </c>
      <c r="I33" s="28">
        <f t="shared" si="29"/>
        <v>0.16235649497171847</v>
      </c>
      <c r="J33" s="28">
        <f t="shared" si="29"/>
        <v>0.15463240749291038</v>
      </c>
      <c r="K33" s="28">
        <f t="shared" si="29"/>
        <v>0.12870170441757695</v>
      </c>
      <c r="L33" s="28">
        <f t="shared" ref="L33:W33" si="30">L8/L6</f>
        <v>0.13834563357061241</v>
      </c>
      <c r="M33" s="28">
        <f t="shared" si="30"/>
        <v>-1.8137586068237788E-2</v>
      </c>
      <c r="N33" s="28">
        <f t="shared" si="30"/>
        <v>9.4280188912061441E-2</v>
      </c>
      <c r="O33" s="28">
        <f t="shared" si="30"/>
        <v>9.4275309604972962E-2</v>
      </c>
      <c r="P33" s="28">
        <f t="shared" si="30"/>
        <v>-7.6944569928003179E-2</v>
      </c>
      <c r="Q33" s="28">
        <f t="shared" si="30"/>
        <v>4.0183992338252428E-2</v>
      </c>
      <c r="R33" s="28">
        <f t="shared" si="30"/>
        <v>0.10579217719924087</v>
      </c>
      <c r="S33" s="28">
        <f t="shared" si="30"/>
        <v>0.11730677550214587</v>
      </c>
      <c r="T33" s="28">
        <f t="shared" si="30"/>
        <v>8.2089552238805957E-2</v>
      </c>
      <c r="U33" s="28">
        <f t="shared" si="30"/>
        <v>5.8708414872798431E-2</v>
      </c>
      <c r="V33" s="28">
        <f t="shared" si="30"/>
        <v>-6.5922920892494935E-2</v>
      </c>
      <c r="W33" s="28">
        <f t="shared" si="30"/>
        <v>6.9370958259847154E-2</v>
      </c>
      <c r="X33" s="28">
        <f t="shared" ref="X33:Y33" si="31">X8/X6</f>
        <v>0.10494169905607995</v>
      </c>
      <c r="Y33" s="28">
        <f t="shared" si="31"/>
        <v>0.14149354295339697</v>
      </c>
      <c r="Z33" s="28"/>
    </row>
    <row r="34" spans="1:26" x14ac:dyDescent="0.3">
      <c r="A34" s="18" t="s">
        <v>74</v>
      </c>
      <c r="B34" s="17" t="s">
        <v>35</v>
      </c>
      <c r="C34" s="6" t="s">
        <v>54</v>
      </c>
      <c r="D34" s="27">
        <f>D11/D10</f>
        <v>0.6024298353770321</v>
      </c>
      <c r="E34" s="27">
        <f>E11/E10</f>
        <v>-0.36494826923402457</v>
      </c>
      <c r="F34" s="27">
        <f t="shared" ref="F34:K34" si="32">F11/F10</f>
        <v>-0.16327832955280899</v>
      </c>
      <c r="G34" s="27">
        <f t="shared" si="32"/>
        <v>-5.7575466419631939E-2</v>
      </c>
      <c r="H34" s="27">
        <f t="shared" si="32"/>
        <v>-3.4144270616906822</v>
      </c>
      <c r="I34" s="27">
        <f t="shared" si="32"/>
        <v>0.20926054625341653</v>
      </c>
      <c r="J34" s="27">
        <f t="shared" si="32"/>
        <v>0.2343658808049843</v>
      </c>
      <c r="K34" s="27">
        <f t="shared" si="32"/>
        <v>0.16337730451373902</v>
      </c>
      <c r="L34" s="27">
        <f t="shared" ref="L34:W34" si="33">L11/L10</f>
        <v>0.2878728421047218</v>
      </c>
      <c r="M34" s="27">
        <f t="shared" si="33"/>
        <v>0.16845924002758694</v>
      </c>
      <c r="N34" s="27">
        <f t="shared" si="33"/>
        <v>1</v>
      </c>
      <c r="O34" s="27">
        <f t="shared" si="33"/>
        <v>0.27488362757263984</v>
      </c>
      <c r="P34" s="27">
        <f t="shared" si="33"/>
        <v>7.3653686540016444E-2</v>
      </c>
      <c r="Q34" s="27">
        <f t="shared" si="33"/>
        <v>-0.25322617783372664</v>
      </c>
      <c r="R34" s="27">
        <f t="shared" si="33"/>
        <v>0.50355400345535428</v>
      </c>
      <c r="S34" s="27">
        <f t="shared" si="33"/>
        <v>0.33503458304177314</v>
      </c>
      <c r="T34" s="27">
        <f t="shared" si="33"/>
        <v>0.40298507462686567</v>
      </c>
      <c r="U34" s="27">
        <f t="shared" si="33"/>
        <v>0.40425531914893614</v>
      </c>
      <c r="V34" s="27">
        <f t="shared" si="33"/>
        <v>-9.6446700507614211E-2</v>
      </c>
      <c r="W34" s="27">
        <f t="shared" si="33"/>
        <v>0.50793650793650802</v>
      </c>
      <c r="X34" s="27">
        <f t="shared" ref="X34:Y34" si="34">X11/X10</f>
        <v>0.31896551724137934</v>
      </c>
      <c r="Y34" s="27">
        <f t="shared" si="34"/>
        <v>0.31288343558282206</v>
      </c>
      <c r="Z34" s="27"/>
    </row>
    <row r="35" spans="1:26" x14ac:dyDescent="0.3">
      <c r="A35" s="16" t="s">
        <v>75</v>
      </c>
      <c r="B35" s="2" t="s">
        <v>36</v>
      </c>
      <c r="C35" s="1" t="s">
        <v>108</v>
      </c>
      <c r="D35" s="28">
        <f t="shared" ref="D35:K35" si="35">D12/D6</f>
        <v>1.788220688770241E-4</v>
      </c>
      <c r="E35" s="28">
        <f t="shared" si="35"/>
        <v>-0.1971633546421554</v>
      </c>
      <c r="F35" s="28">
        <f t="shared" si="35"/>
        <v>-0.17719274307846153</v>
      </c>
      <c r="G35" s="28">
        <f t="shared" si="35"/>
        <v>-0.11396223661218015</v>
      </c>
      <c r="H35" s="28">
        <f t="shared" si="35"/>
        <v>-3.8836007839773909E-2</v>
      </c>
      <c r="I35" s="28">
        <f t="shared" si="35"/>
        <v>0.11071798490006168</v>
      </c>
      <c r="J35" s="28">
        <f t="shared" si="35"/>
        <v>9.0480118696917605E-2</v>
      </c>
      <c r="K35" s="28">
        <f t="shared" si="35"/>
        <v>6.886023802824269E-2</v>
      </c>
      <c r="L35" s="28">
        <f t="shared" ref="L35:W35" si="36">L12/L6</f>
        <v>6.7134560446482805E-2</v>
      </c>
      <c r="M35" s="28">
        <f t="shared" si="36"/>
        <v>-9.3095081776795652E-2</v>
      </c>
      <c r="N35" s="28">
        <f t="shared" si="36"/>
        <v>3.0224255372572287E-2</v>
      </c>
      <c r="O35" s="28">
        <f t="shared" si="36"/>
        <v>3.6666022415044006E-2</v>
      </c>
      <c r="P35" s="28">
        <f t="shared" si="36"/>
        <v>-0.14029357936394199</v>
      </c>
      <c r="Q35" s="28">
        <f t="shared" si="36"/>
        <v>-2.2837017605237656E-2</v>
      </c>
      <c r="R35" s="28">
        <f t="shared" si="36"/>
        <v>2.7816900692874104E-2</v>
      </c>
      <c r="S35" s="28">
        <f t="shared" si="36"/>
        <v>4.6287918533992799E-2</v>
      </c>
      <c r="T35" s="28">
        <f t="shared" si="36"/>
        <v>1.755926251097454E-2</v>
      </c>
      <c r="U35" s="28">
        <f t="shared" si="36"/>
        <v>1.3698630136986301E-2</v>
      </c>
      <c r="V35" s="28">
        <f t="shared" si="36"/>
        <v>-0.10953346855983774</v>
      </c>
      <c r="W35" s="28">
        <f t="shared" si="36"/>
        <v>1.8224573780129337E-2</v>
      </c>
      <c r="X35" s="28">
        <f t="shared" ref="X35:Y35" si="37">X12/X6</f>
        <v>4.3309272626318715E-2</v>
      </c>
      <c r="Y35" s="28">
        <f t="shared" si="37"/>
        <v>6.2886019090398648E-2</v>
      </c>
      <c r="Z35" s="28"/>
    </row>
    <row r="36" spans="1:26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14464.95489243581</v>
      </c>
      <c r="E36" s="29">
        <f t="shared" ref="E36:W36" si="38">IF(E26/E12&lt;0,0,E26/E12)</f>
        <v>0</v>
      </c>
      <c r="F36" s="29">
        <f t="shared" si="38"/>
        <v>0</v>
      </c>
      <c r="G36" s="29">
        <f t="shared" si="38"/>
        <v>0</v>
      </c>
      <c r="H36" s="29">
        <f t="shared" si="38"/>
        <v>0</v>
      </c>
      <c r="I36" s="29">
        <f t="shared" si="38"/>
        <v>17.171174475909112</v>
      </c>
      <c r="J36" s="29">
        <f t="shared" si="38"/>
        <v>17.76780599620302</v>
      </c>
      <c r="K36" s="29">
        <f t="shared" si="38"/>
        <v>22.367194780987884</v>
      </c>
      <c r="L36" s="29">
        <f t="shared" si="38"/>
        <v>18.403152188559563</v>
      </c>
      <c r="M36" s="29">
        <f t="shared" si="38"/>
        <v>0</v>
      </c>
      <c r="N36" s="29">
        <f t="shared" si="38"/>
        <v>39.292997818449415</v>
      </c>
      <c r="O36" s="29">
        <f t="shared" si="38"/>
        <v>23.657523550149371</v>
      </c>
      <c r="P36" s="29">
        <f t="shared" si="38"/>
        <v>0</v>
      </c>
      <c r="Q36" s="29">
        <f t="shared" si="38"/>
        <v>0</v>
      </c>
      <c r="R36" s="29">
        <f t="shared" si="38"/>
        <v>27.755846166041863</v>
      </c>
      <c r="S36" s="29">
        <f t="shared" si="38"/>
        <v>12.058500079590461</v>
      </c>
      <c r="T36" s="29">
        <f t="shared" si="38"/>
        <v>19.739999999999998</v>
      </c>
      <c r="U36" s="29">
        <f t="shared" si="38"/>
        <v>11.400000000000002</v>
      </c>
      <c r="V36" s="29">
        <f t="shared" si="38"/>
        <v>0</v>
      </c>
      <c r="W36" s="29">
        <f t="shared" si="38"/>
        <v>7.3919999999999995</v>
      </c>
      <c r="X36" s="29">
        <f t="shared" ref="X36:Y36" si="39">IF(X26/X12&lt;0,0,X26/X12)</f>
        <v>4.523076923076923</v>
      </c>
      <c r="Y36" s="29">
        <f t="shared" si="39"/>
        <v>2.145</v>
      </c>
      <c r="Z36" s="29"/>
    </row>
    <row r="37" spans="1:26" x14ac:dyDescent="0.3">
      <c r="A37" s="16" t="s">
        <v>77</v>
      </c>
      <c r="B37" s="2" t="s">
        <v>38</v>
      </c>
      <c r="C37" s="1" t="s">
        <v>57</v>
      </c>
      <c r="D37" s="30">
        <f t="shared" ref="D37:X37" si="40">D26/D23</f>
        <v>6.7976276951149508</v>
      </c>
      <c r="E37" s="30">
        <f t="shared" si="40"/>
        <v>2.5663760186418703</v>
      </c>
      <c r="F37" s="30">
        <f t="shared" si="40"/>
        <v>1.2594147533595947</v>
      </c>
      <c r="G37" s="30">
        <f t="shared" si="40"/>
        <v>1.4591940250650048</v>
      </c>
      <c r="H37" s="30">
        <f t="shared" si="40"/>
        <v>3.073611682534553</v>
      </c>
      <c r="I37" s="30">
        <f t="shared" si="40"/>
        <v>3.5930600752638409</v>
      </c>
      <c r="J37" s="30">
        <f t="shared" si="40"/>
        <v>3.0626638525161094</v>
      </c>
      <c r="K37" s="30">
        <f t="shared" si="40"/>
        <v>2.5641378693988024</v>
      </c>
      <c r="L37" s="30">
        <f t="shared" ref="L37:W37" si="41">L26/L23</f>
        <v>2.0149704009884255</v>
      </c>
      <c r="M37" s="30">
        <f t="shared" si="41"/>
        <v>0.97318694795760052</v>
      </c>
      <c r="N37" s="30">
        <f t="shared" si="41"/>
        <v>2.0155213238194993</v>
      </c>
      <c r="O37" s="30">
        <f t="shared" si="41"/>
        <v>1.4807123523297123</v>
      </c>
      <c r="P37" s="30">
        <f t="shared" si="41"/>
        <v>0.63754595835547534</v>
      </c>
      <c r="Q37" s="30">
        <f t="shared" si="41"/>
        <v>0.43778949492331887</v>
      </c>
      <c r="R37" s="30">
        <f t="shared" si="41"/>
        <v>1.4434215864139661</v>
      </c>
      <c r="S37" s="30">
        <f t="shared" si="41"/>
        <v>0.96453488372093021</v>
      </c>
      <c r="T37" s="30">
        <f t="shared" si="41"/>
        <v>0.55684062059238359</v>
      </c>
      <c r="U37" s="30">
        <f t="shared" si="41"/>
        <v>0.22182070882557331</v>
      </c>
      <c r="V37" s="30">
        <f t="shared" si="41"/>
        <v>0.46941176470588236</v>
      </c>
      <c r="W37" s="30">
        <f t="shared" si="41"/>
        <v>0.18273684210526314</v>
      </c>
      <c r="X37" s="30">
        <f t="shared" si="40"/>
        <v>0.26506386175807667</v>
      </c>
      <c r="Y37" s="30">
        <f t="shared" ref="Y37" si="42">Y26/Y23</f>
        <v>0.16671755725190837</v>
      </c>
      <c r="Z37" s="30"/>
    </row>
    <row r="38" spans="1:26" x14ac:dyDescent="0.3">
      <c r="A38" s="18" t="s">
        <v>78</v>
      </c>
      <c r="B38" s="17" t="s">
        <v>39</v>
      </c>
      <c r="C38" s="6" t="s">
        <v>106</v>
      </c>
      <c r="D38" s="55">
        <f t="shared" ref="D38:X38" si="43">D8/D23</f>
        <v>0.34661582686431824</v>
      </c>
      <c r="E38" s="55">
        <f t="shared" si="43"/>
        <v>0.25758573522662975</v>
      </c>
      <c r="F38" s="55">
        <f t="shared" si="43"/>
        <v>0.37828928964386282</v>
      </c>
      <c r="G38" s="55">
        <f t="shared" si="43"/>
        <v>0.22497903803339811</v>
      </c>
      <c r="H38" s="55">
        <f t="shared" si="43"/>
        <v>8.0263908662631625E-2</v>
      </c>
      <c r="I38" s="55">
        <f t="shared" si="43"/>
        <v>0.3068428243526018</v>
      </c>
      <c r="J38" s="55">
        <f t="shared" si="43"/>
        <v>0.29458653017103081</v>
      </c>
      <c r="K38" s="55">
        <f t="shared" si="43"/>
        <v>0.21426223549916995</v>
      </c>
      <c r="L38" s="55">
        <f t="shared" ref="L38:W38" si="44">L8/L23</f>
        <v>0.22562943720842668</v>
      </c>
      <c r="M38" s="55">
        <f t="shared" si="44"/>
        <v>-3.4157317132124547E-2</v>
      </c>
      <c r="N38" s="55">
        <f t="shared" si="44"/>
        <v>0.16000629428167606</v>
      </c>
      <c r="O38" s="55">
        <f t="shared" si="44"/>
        <v>0.16092947185124581</v>
      </c>
      <c r="P38" s="55">
        <f t="shared" si="44"/>
        <v>-0.15518864186360432</v>
      </c>
      <c r="Q38" s="55">
        <f t="shared" si="44"/>
        <v>7.7204648171119675E-2</v>
      </c>
      <c r="R38" s="55">
        <f t="shared" si="44"/>
        <v>0.19778053121603334</v>
      </c>
      <c r="S38" s="55">
        <f t="shared" si="44"/>
        <v>0.20271229651162789</v>
      </c>
      <c r="T38" s="55">
        <f t="shared" si="44"/>
        <v>0.1318758815232722</v>
      </c>
      <c r="U38" s="55">
        <f t="shared" si="44"/>
        <v>8.3391243919388458E-2</v>
      </c>
      <c r="V38" s="55">
        <f t="shared" si="44"/>
        <v>-0.10620915032679738</v>
      </c>
      <c r="W38" s="55">
        <f t="shared" si="44"/>
        <v>9.4098883572567779E-2</v>
      </c>
      <c r="X38" s="55">
        <f t="shared" si="43"/>
        <v>0.14199849737039819</v>
      </c>
      <c r="Y38" s="55">
        <f t="shared" ref="Y38" si="45">Y8/Y23</f>
        <v>0.17487855655794587</v>
      </c>
      <c r="Z38" s="55"/>
    </row>
    <row r="39" spans="1:26" x14ac:dyDescent="0.3">
      <c r="A39" s="16" t="s">
        <v>79</v>
      </c>
      <c r="B39" s="2" t="s">
        <v>40</v>
      </c>
      <c r="C39" s="1" t="s">
        <v>107</v>
      </c>
      <c r="D39" s="56">
        <f t="shared" ref="D39:X39" si="46">D12/D23</f>
        <v>4.699377043111036E-4</v>
      </c>
      <c r="E39" s="56">
        <f t="shared" si="46"/>
        <v>-0.39928236522441685</v>
      </c>
      <c r="F39" s="56">
        <f t="shared" si="46"/>
        <v>-0.44795333484203587</v>
      </c>
      <c r="G39" s="56">
        <f t="shared" si="46"/>
        <v>-0.31840383301669456</v>
      </c>
      <c r="H39" s="56">
        <f t="shared" si="46"/>
        <v>-0.10665225540057095</v>
      </c>
      <c r="I39" s="56">
        <f t="shared" si="46"/>
        <v>0.20924952339776456</v>
      </c>
      <c r="J39" s="56">
        <f t="shared" si="46"/>
        <v>0.17237152708503237</v>
      </c>
      <c r="K39" s="56">
        <f t="shared" si="46"/>
        <v>0.1146383305777048</v>
      </c>
      <c r="L39" s="56">
        <f t="shared" ref="L39:W39" si="47">L12/L23</f>
        <v>0.10949050360193427</v>
      </c>
      <c r="M39" s="56">
        <f t="shared" si="47"/>
        <v>-0.17531981487104412</v>
      </c>
      <c r="N39" s="56">
        <f t="shared" si="47"/>
        <v>5.1294669170626181E-2</v>
      </c>
      <c r="O39" s="56">
        <f t="shared" si="47"/>
        <v>6.2589490788876892E-2</v>
      </c>
      <c r="P39" s="56">
        <f t="shared" si="47"/>
        <v>-0.28295654994297736</v>
      </c>
      <c r="Q39" s="56">
        <f t="shared" si="47"/>
        <v>-4.3876275275208661E-2</v>
      </c>
      <c r="R39" s="56">
        <f t="shared" si="47"/>
        <v>5.2004236432897262E-2</v>
      </c>
      <c r="S39" s="56">
        <f t="shared" si="47"/>
        <v>7.9987965116279078E-2</v>
      </c>
      <c r="T39" s="56">
        <f t="shared" si="47"/>
        <v>2.8208744710860365E-2</v>
      </c>
      <c r="U39" s="56">
        <f t="shared" si="47"/>
        <v>1.9457956914523972E-2</v>
      </c>
      <c r="V39" s="56">
        <f t="shared" si="47"/>
        <v>-0.17647058823529413</v>
      </c>
      <c r="W39" s="56">
        <f t="shared" si="47"/>
        <v>2.4720893141945772E-2</v>
      </c>
      <c r="X39" s="56">
        <f t="shared" si="46"/>
        <v>5.8602554470323066E-2</v>
      </c>
      <c r="Y39" s="56">
        <f t="shared" ref="Y39" si="48">Y12/Y23</f>
        <v>7.7723802914642606E-2</v>
      </c>
      <c r="Z39" s="56"/>
    </row>
    <row r="40" spans="1:26" x14ac:dyDescent="0.3">
      <c r="A40" s="18" t="s">
        <v>80</v>
      </c>
      <c r="B40" s="17" t="s">
        <v>41</v>
      </c>
      <c r="C40" s="6" t="s">
        <v>61</v>
      </c>
      <c r="D40" s="7">
        <f t="shared" ref="D40:X40" si="49">D20-D19</f>
        <v>52.983185000000006</v>
      </c>
      <c r="E40" s="7">
        <f t="shared" si="49"/>
        <v>41.874884999999992</v>
      </c>
      <c r="F40" s="7">
        <f t="shared" si="49"/>
        <v>-9.6223650000000021</v>
      </c>
      <c r="G40" s="7">
        <f t="shared" si="49"/>
        <v>-12.062206000000018</v>
      </c>
      <c r="H40" s="7">
        <f t="shared" si="49"/>
        <v>11.772371000000007</v>
      </c>
      <c r="I40" s="7">
        <f t="shared" si="49"/>
        <v>6.2900970000000029</v>
      </c>
      <c r="J40" s="7">
        <f t="shared" si="49"/>
        <v>1.791561999999999</v>
      </c>
      <c r="K40" s="7">
        <f t="shared" si="49"/>
        <v>0.91898999999999376</v>
      </c>
      <c r="L40" s="7">
        <f t="shared" ref="L40:W40" si="50">L20-L19</f>
        <v>-17.368353999999997</v>
      </c>
      <c r="M40" s="7">
        <f t="shared" si="50"/>
        <v>-60.468820999999991</v>
      </c>
      <c r="N40" s="7">
        <f t="shared" si="50"/>
        <v>-62.834124000000017</v>
      </c>
      <c r="O40" s="7">
        <f t="shared" si="50"/>
        <v>-76.712895999999986</v>
      </c>
      <c r="P40" s="7">
        <f t="shared" si="50"/>
        <v>-84.250918999999982</v>
      </c>
      <c r="Q40" s="7">
        <f t="shared" si="50"/>
        <v>-82.455008000000007</v>
      </c>
      <c r="R40" s="7">
        <f t="shared" si="50"/>
        <v>-91.671695000000014</v>
      </c>
      <c r="S40" s="7">
        <f t="shared" si="50"/>
        <v>-73.381455999999986</v>
      </c>
      <c r="T40" s="7">
        <f t="shared" si="50"/>
        <v>-59.950299999999999</v>
      </c>
      <c r="U40" s="7">
        <f t="shared" si="50"/>
        <v>-66.582450999999992</v>
      </c>
      <c r="V40" s="7">
        <f t="shared" si="50"/>
        <v>-117.257972</v>
      </c>
      <c r="W40" s="7">
        <f t="shared" si="50"/>
        <v>-95.4</v>
      </c>
      <c r="X40" s="7">
        <f t="shared" si="49"/>
        <v>-65.5</v>
      </c>
      <c r="Y40" s="7">
        <f t="shared" ref="Y40" si="51">Y20-Y19</f>
        <v>-40.299999999999997</v>
      </c>
      <c r="Z40" s="7"/>
    </row>
    <row r="41" spans="1:26" x14ac:dyDescent="0.3">
      <c r="A41" s="53" t="s">
        <v>96</v>
      </c>
      <c r="B41" s="49" t="s">
        <v>42</v>
      </c>
      <c r="C41" s="52" t="s">
        <v>98</v>
      </c>
      <c r="D41" s="29">
        <f>D20/D19</f>
        <v>1.4493407457378271</v>
      </c>
      <c r="E41" s="29">
        <f t="shared" ref="E41:X41" si="52">E20/E19</f>
        <v>1.4274255240238556</v>
      </c>
      <c r="F41" s="29">
        <f t="shared" si="52"/>
        <v>0.93168945289309923</v>
      </c>
      <c r="G41" s="29">
        <f t="shared" si="52"/>
        <v>0.90877478069168527</v>
      </c>
      <c r="H41" s="29">
        <f t="shared" si="52"/>
        <v>1.1005162300333817</v>
      </c>
      <c r="I41" s="29">
        <f t="shared" si="52"/>
        <v>1.074536805630004</v>
      </c>
      <c r="J41" s="29">
        <f t="shared" si="52"/>
        <v>1.0212179617053145</v>
      </c>
      <c r="K41" s="29">
        <f t="shared" si="52"/>
        <v>1.0101185465033142</v>
      </c>
      <c r="L41" s="29">
        <f t="shared" ref="L41:W41" si="53">L20/L19</f>
        <v>0.86377385050234645</v>
      </c>
      <c r="M41" s="29">
        <f t="shared" si="53"/>
        <v>0.58278378612501702</v>
      </c>
      <c r="N41" s="29">
        <f t="shared" si="53"/>
        <v>0.55397159493079784</v>
      </c>
      <c r="O41" s="29">
        <f t="shared" si="53"/>
        <v>0.48119519215203416</v>
      </c>
      <c r="P41" s="29">
        <f t="shared" si="53"/>
        <v>0.43774724294776735</v>
      </c>
      <c r="Q41" s="29">
        <f t="shared" si="53"/>
        <v>0.40401303632361479</v>
      </c>
      <c r="R41" s="29">
        <f t="shared" si="53"/>
        <v>0.40468005817156028</v>
      </c>
      <c r="S41" s="29">
        <f t="shared" si="53"/>
        <v>0.4008770111289337</v>
      </c>
      <c r="T41" s="29">
        <f t="shared" si="53"/>
        <v>0.45820029407963647</v>
      </c>
      <c r="U41" s="29">
        <f t="shared" si="53"/>
        <v>0.49050197260227391</v>
      </c>
      <c r="V41" s="29">
        <f t="shared" si="53"/>
        <v>0.33246427324118255</v>
      </c>
      <c r="W41" s="29">
        <f t="shared" si="53"/>
        <v>0.41472392638036809</v>
      </c>
      <c r="X41" s="29">
        <f t="shared" si="52"/>
        <v>0.45416666666666666</v>
      </c>
      <c r="Y41" s="29">
        <f t="shared" ref="Y41" si="54">Y20/Y19</f>
        <v>0.61800947867298583</v>
      </c>
      <c r="Z41" s="29"/>
    </row>
    <row r="42" spans="1:26" x14ac:dyDescent="0.3">
      <c r="A42" s="16" t="s">
        <v>81</v>
      </c>
      <c r="B42" s="17" t="s">
        <v>43</v>
      </c>
      <c r="C42" s="1" t="s">
        <v>60</v>
      </c>
      <c r="D42" s="30">
        <f t="shared" ref="D42:X42" si="55">(D20-D21)/D19</f>
        <v>0.93009885114175772</v>
      </c>
      <c r="E42" s="30">
        <f t="shared" si="55"/>
        <v>1.1615113563063146</v>
      </c>
      <c r="F42" s="30">
        <f t="shared" si="55"/>
        <v>0.62761250510951949</v>
      </c>
      <c r="G42" s="30">
        <f t="shared" si="55"/>
        <v>0.58869570637028912</v>
      </c>
      <c r="H42" s="30">
        <f t="shared" si="55"/>
        <v>0.77412247323677497</v>
      </c>
      <c r="I42" s="30">
        <f t="shared" si="55"/>
        <v>1.037571895654205</v>
      </c>
      <c r="J42" s="30">
        <f t="shared" si="55"/>
        <v>0.9693409228040758</v>
      </c>
      <c r="K42" s="30">
        <f t="shared" si="55"/>
        <v>0.97569467853242653</v>
      </c>
      <c r="L42" s="30">
        <f t="shared" ref="L42:W42" si="56">(L20-L21)/L19</f>
        <v>0.84204055961515367</v>
      </c>
      <c r="M42" s="30">
        <f t="shared" si="56"/>
        <v>0.56036594308106347</v>
      </c>
      <c r="N42" s="30">
        <f t="shared" si="56"/>
        <v>0.54036897636576564</v>
      </c>
      <c r="O42" s="30">
        <f t="shared" si="56"/>
        <v>0.46239848292620084</v>
      </c>
      <c r="P42" s="30">
        <f t="shared" si="56"/>
        <v>0.41592253075714269</v>
      </c>
      <c r="Q42" s="30">
        <f t="shared" si="56"/>
        <v>0.38944802852150251</v>
      </c>
      <c r="R42" s="30">
        <f t="shared" si="56"/>
        <v>0.39041226874371449</v>
      </c>
      <c r="S42" s="30">
        <f t="shared" si="56"/>
        <v>0.38576718911636715</v>
      </c>
      <c r="T42" s="30">
        <f t="shared" si="56"/>
        <v>0.4410290799030821</v>
      </c>
      <c r="U42" s="30">
        <f t="shared" si="56"/>
        <v>0.47978898100097617</v>
      </c>
      <c r="V42" s="30">
        <f t="shared" si="56"/>
        <v>0.3301871206847361</v>
      </c>
      <c r="W42" s="30">
        <f t="shared" si="56"/>
        <v>0.41165644171779137</v>
      </c>
      <c r="X42" s="30">
        <f t="shared" si="55"/>
        <v>0.45166666666666672</v>
      </c>
      <c r="Y42" s="30">
        <f t="shared" ref="Y42" si="57">(Y20-Y21)/Y19</f>
        <v>0.61516587677725121</v>
      </c>
      <c r="Z42" s="30"/>
    </row>
    <row r="43" spans="1:26" x14ac:dyDescent="0.3">
      <c r="A43" s="18" t="s">
        <v>82</v>
      </c>
      <c r="B43" s="49" t="s">
        <v>44</v>
      </c>
      <c r="C43" s="6" t="s">
        <v>62</v>
      </c>
      <c r="D43" s="29">
        <f t="shared" ref="D43:K43" si="58">D14/D19</f>
        <v>0.41472026594488121</v>
      </c>
      <c r="E43" s="29">
        <f t="shared" si="58"/>
        <v>0.3129224793933123</v>
      </c>
      <c r="F43" s="29">
        <f t="shared" si="58"/>
        <v>-0.10179444403872842</v>
      </c>
      <c r="G43" s="29">
        <f t="shared" si="58"/>
        <v>-7.2843190209267397E-2</v>
      </c>
      <c r="H43" s="29">
        <f t="shared" si="58"/>
        <v>8.4414493396150064E-2</v>
      </c>
      <c r="I43" s="29">
        <f t="shared" si="58"/>
        <v>0.24758376199136808</v>
      </c>
      <c r="J43" s="29">
        <f t="shared" si="58"/>
        <v>0.24255777176263096</v>
      </c>
      <c r="K43" s="29">
        <f t="shared" si="58"/>
        <v>0.16890815830507239</v>
      </c>
      <c r="L43" s="29">
        <f t="shared" ref="L43:T43" si="59">L14/L19</f>
        <v>0.18755949772290176</v>
      </c>
      <c r="M43" s="29">
        <f t="shared" si="59"/>
        <v>7.4290082973275809E-3</v>
      </c>
      <c r="N43" s="29">
        <f t="shared" si="59"/>
        <v>-4.9185590538270763E-2</v>
      </c>
      <c r="O43" s="29">
        <f t="shared" si="59"/>
        <v>-4.7464221995061041E-2</v>
      </c>
      <c r="P43" s="29">
        <f t="shared" si="59"/>
        <v>-0.10253011981859289</v>
      </c>
      <c r="Q43" s="29">
        <f t="shared" si="59"/>
        <v>-0.10353841159280003</v>
      </c>
      <c r="R43" s="29">
        <f t="shared" si="59"/>
        <v>4.1569753355072701E-2</v>
      </c>
      <c r="S43" s="29">
        <f t="shared" si="59"/>
        <v>3.9189605975944633E-2</v>
      </c>
      <c r="T43" s="29">
        <f t="shared" si="59"/>
        <v>3.1631184009442363E-2</v>
      </c>
      <c r="U43" s="29">
        <f t="shared" ref="U43:Y43" si="60">T14/U19</f>
        <v>2.6782479003244288E-2</v>
      </c>
      <c r="V43" s="29">
        <f t="shared" si="60"/>
        <v>1.9925084868906491E-2</v>
      </c>
      <c r="W43" s="29">
        <f t="shared" si="60"/>
        <v>2.3312883435582819E-2</v>
      </c>
      <c r="X43" s="29">
        <f t="shared" si="60"/>
        <v>1.4994733333333335E-2</v>
      </c>
      <c r="Y43" s="29">
        <f t="shared" si="60"/>
        <v>2.3696682464454975E-2</v>
      </c>
      <c r="Z43" s="29"/>
    </row>
    <row r="44" spans="1:26" x14ac:dyDescent="0.3">
      <c r="A44" s="16" t="s">
        <v>83</v>
      </c>
      <c r="B44" s="17" t="s">
        <v>45</v>
      </c>
      <c r="C44" s="1" t="s">
        <v>63</v>
      </c>
      <c r="D44" s="30">
        <f t="shared" ref="D44:X44" si="61">D29/D7</f>
        <v>1.0814675520124628</v>
      </c>
      <c r="E44" s="30">
        <f t="shared" si="61"/>
        <v>1.2386367179950482</v>
      </c>
      <c r="F44" s="30">
        <f t="shared" si="61"/>
        <v>2.1517342162469593</v>
      </c>
      <c r="G44" s="30">
        <f t="shared" si="61"/>
        <v>4.0598082714260499</v>
      </c>
      <c r="H44" s="30">
        <f t="shared" si="61"/>
        <v>4.6848224995330785</v>
      </c>
      <c r="I44" s="30">
        <f t="shared" si="61"/>
        <v>1.746188808209844</v>
      </c>
      <c r="J44" s="30">
        <f t="shared" si="61"/>
        <v>4.3541093338550452</v>
      </c>
      <c r="K44" s="30">
        <f t="shared" si="61"/>
        <v>5.289064660898247</v>
      </c>
      <c r="L44" s="30">
        <f t="shared" ref="L44:W44" si="62">L29/L7</f>
        <v>4.1197085639645383</v>
      </c>
      <c r="M44" s="30">
        <f t="shared" si="62"/>
        <v>51.744653380612647</v>
      </c>
      <c r="N44" s="30">
        <f t="shared" si="62"/>
        <v>7.8288802354206419</v>
      </c>
      <c r="O44" s="30">
        <f t="shared" si="62"/>
        <v>7.2642430857648455</v>
      </c>
      <c r="P44" s="30">
        <f t="shared" si="62"/>
        <v>-22.748127228250734</v>
      </c>
      <c r="Q44" s="30">
        <f t="shared" si="62"/>
        <v>14.416007761353711</v>
      </c>
      <c r="R44" s="30">
        <f t="shared" si="62"/>
        <v>6.4034662148530908</v>
      </c>
      <c r="S44" s="30">
        <f t="shared" si="62"/>
        <v>5.8225016980982405</v>
      </c>
      <c r="T44" s="30">
        <f t="shared" si="62"/>
        <v>7.9466666666666672</v>
      </c>
      <c r="U44" s="30">
        <f t="shared" si="62"/>
        <v>11.819354838709677</v>
      </c>
      <c r="V44" s="30">
        <f t="shared" si="62"/>
        <v>-19.215053763440856</v>
      </c>
      <c r="W44" s="30">
        <f t="shared" si="62"/>
        <v>12.091503267973856</v>
      </c>
      <c r="X44" s="30">
        <f t="shared" si="61"/>
        <v>6.7652077732793527</v>
      </c>
      <c r="Y44" s="30">
        <f t="shared" ref="Y44" si="63">Y29/Y7</f>
        <v>5.0098360655737713</v>
      </c>
      <c r="Z44" s="30"/>
    </row>
    <row r="45" spans="1:26" x14ac:dyDescent="0.3">
      <c r="A45" s="18" t="s">
        <v>84</v>
      </c>
      <c r="B45" s="54" t="s">
        <v>99</v>
      </c>
      <c r="C45" s="6" t="s">
        <v>64</v>
      </c>
      <c r="D45" s="29">
        <f t="shared" ref="D45:X45" si="64">D18/D23</f>
        <v>1.9594953077771959</v>
      </c>
      <c r="E45" s="29">
        <f t="shared" si="64"/>
        <v>1.2083297911997659</v>
      </c>
      <c r="F45" s="29">
        <f t="shared" si="64"/>
        <v>2.0520766285624825</v>
      </c>
      <c r="G45" s="29">
        <f t="shared" si="64"/>
        <v>3.7247736339306425</v>
      </c>
      <c r="H45" s="29">
        <f t="shared" si="64"/>
        <v>3.0320603416463658</v>
      </c>
      <c r="I45" s="29">
        <f t="shared" si="64"/>
        <v>1.4232369375248641</v>
      </c>
      <c r="J45" s="29">
        <f t="shared" si="64"/>
        <v>3.2836112263256081</v>
      </c>
      <c r="K45" s="29">
        <f t="shared" si="64"/>
        <v>3.0580789750680708</v>
      </c>
      <c r="L45" s="29">
        <f t="shared" ref="L45:W45" si="65">L18/L23</f>
        <v>2.9215131766301816</v>
      </c>
      <c r="M45" s="29">
        <f t="shared" si="65"/>
        <v>3.5796003064932025</v>
      </c>
      <c r="N45" s="29">
        <f t="shared" si="65"/>
        <v>3.3778161409572185</v>
      </c>
      <c r="O45" s="29">
        <f t="shared" si="65"/>
        <v>3.0495828870447204</v>
      </c>
      <c r="P45" s="29">
        <f t="shared" si="65"/>
        <v>3.5673011430490109</v>
      </c>
      <c r="Q45" s="29">
        <f t="shared" si="65"/>
        <v>3.539328337607119</v>
      </c>
      <c r="R45" s="29">
        <f t="shared" si="65"/>
        <v>2.3254020396543349</v>
      </c>
      <c r="S45" s="29">
        <f t="shared" si="65"/>
        <v>1.9585755813953489</v>
      </c>
      <c r="T45" s="29">
        <f t="shared" si="65"/>
        <v>1.8455571227080392</v>
      </c>
      <c r="U45" s="29">
        <f t="shared" si="65"/>
        <v>1.8742182070882556</v>
      </c>
      <c r="V45" s="29">
        <f t="shared" si="65"/>
        <v>2.1723856209150325</v>
      </c>
      <c r="W45" s="29">
        <f t="shared" si="65"/>
        <v>2.16347687400319</v>
      </c>
      <c r="X45" s="29">
        <f t="shared" si="64"/>
        <v>1.861006761833208</v>
      </c>
      <c r="Y45" s="29">
        <f t="shared" ref="Y45" si="66">Y18/Y23</f>
        <v>1.7147814018043026</v>
      </c>
      <c r="Z45" s="29"/>
    </row>
    <row r="46" spans="1:26" x14ac:dyDescent="0.3">
      <c r="A46" s="18" t="s">
        <v>97</v>
      </c>
      <c r="B46" s="17" t="s">
        <v>100</v>
      </c>
      <c r="C46" s="6" t="s">
        <v>111</v>
      </c>
      <c r="D46" s="28">
        <f t="shared" ref="D46:Z46" si="67">D13/D4</f>
        <v>0.16729706390328153</v>
      </c>
      <c r="E46" s="28">
        <f t="shared" si="67"/>
        <v>0.28787999999999997</v>
      </c>
      <c r="F46" s="28">
        <f t="shared" si="67"/>
        <v>0</v>
      </c>
      <c r="G46" s="28">
        <f t="shared" ref="G46" si="68">G13/G4</f>
        <v>0</v>
      </c>
      <c r="H46" s="28">
        <f t="shared" si="67"/>
        <v>0</v>
      </c>
      <c r="I46" s="28">
        <f t="shared" si="67"/>
        <v>0</v>
      </c>
      <c r="J46" s="28">
        <f t="shared" si="67"/>
        <v>0</v>
      </c>
      <c r="K46" s="28">
        <f t="shared" si="67"/>
        <v>4.1747227309727311E-2</v>
      </c>
      <c r="L46" s="28">
        <f t="shared" ref="L46:W46" si="69">L13/L4</f>
        <v>3.5946601941747577E-2</v>
      </c>
      <c r="M46" s="28">
        <f t="shared" si="69"/>
        <v>1.0517077664399094E-2</v>
      </c>
      <c r="N46" s="28">
        <f t="shared" si="69"/>
        <v>6.3122605746209107E-2</v>
      </c>
      <c r="O46" s="28">
        <f t="shared" si="69"/>
        <v>0</v>
      </c>
      <c r="P46" s="28">
        <f t="shared" si="69"/>
        <v>0</v>
      </c>
      <c r="Q46" s="28">
        <f t="shared" si="69"/>
        <v>0</v>
      </c>
      <c r="R46" s="28">
        <f t="shared" si="69"/>
        <v>0</v>
      </c>
      <c r="S46" s="28">
        <f t="shared" si="69"/>
        <v>0</v>
      </c>
      <c r="T46" s="28">
        <f t="shared" si="69"/>
        <v>0</v>
      </c>
      <c r="U46" s="28">
        <f t="shared" si="69"/>
        <v>0</v>
      </c>
      <c r="V46" s="28">
        <f t="shared" si="69"/>
        <v>0</v>
      </c>
      <c r="W46" s="28">
        <f t="shared" si="69"/>
        <v>0</v>
      </c>
      <c r="X46" s="28">
        <f t="shared" si="67"/>
        <v>0</v>
      </c>
      <c r="Y46" s="28">
        <f t="shared" si="67"/>
        <v>0</v>
      </c>
      <c r="Z46" s="28">
        <f t="shared" si="67"/>
        <v>0</v>
      </c>
    </row>
  </sheetData>
  <mergeCells count="2">
    <mergeCell ref="A6:A13"/>
    <mergeCell ref="A14:A2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BE1D-D696-4FB1-A955-415149777AFC}">
  <sheetPr codeName="Planilha21"/>
  <dimension ref="A2:AF46"/>
  <sheetViews>
    <sheetView workbookViewId="0">
      <pane xSplit="3" ySplit="3" topLeftCell="M4" activePane="bottomRight" state="frozen"/>
      <selection activeCell="C22" sqref="C22"/>
      <selection pane="topRight" activeCell="C22" sqref="C22"/>
      <selection pane="bottomLeft" activeCell="C22" sqref="C22"/>
      <selection pane="bottomRight" activeCell="AE25" sqref="AE25:AF46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1" width="8.33203125" customWidth="1"/>
  </cols>
  <sheetData>
    <row r="2" spans="1:32" x14ac:dyDescent="0.3">
      <c r="AC2" s="104" t="s">
        <v>102</v>
      </c>
      <c r="AD2" s="104"/>
      <c r="AE2" s="107"/>
    </row>
    <row r="3" spans="1:32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9" t="s">
        <v>94</v>
      </c>
    </row>
    <row r="4" spans="1:32" x14ac:dyDescent="0.3">
      <c r="A4" s="4" t="s">
        <v>5</v>
      </c>
      <c r="B4" s="11">
        <v>1</v>
      </c>
      <c r="C4" s="6" t="s">
        <v>4</v>
      </c>
      <c r="D4" s="19">
        <v>3</v>
      </c>
      <c r="E4" s="19">
        <v>2.41</v>
      </c>
      <c r="F4" s="19">
        <v>2.93</v>
      </c>
      <c r="G4" s="19">
        <v>5.53</v>
      </c>
      <c r="H4" s="19">
        <v>5.51</v>
      </c>
      <c r="I4" s="19">
        <v>4.99</v>
      </c>
      <c r="J4" s="19">
        <v>3.47</v>
      </c>
      <c r="K4" s="19">
        <v>2.9</v>
      </c>
      <c r="L4" s="19">
        <v>2.34</v>
      </c>
      <c r="M4" s="19">
        <v>1.72</v>
      </c>
      <c r="N4" s="19">
        <v>1.69</v>
      </c>
      <c r="O4" s="19">
        <v>1.74</v>
      </c>
      <c r="P4" s="19">
        <v>1.64</v>
      </c>
      <c r="Q4" s="19">
        <v>0.92</v>
      </c>
      <c r="R4" s="19">
        <v>0.34</v>
      </c>
      <c r="S4" s="19">
        <v>0.64</v>
      </c>
      <c r="T4" s="19">
        <v>0.375</v>
      </c>
      <c r="U4" s="19">
        <v>0.14000000000000001</v>
      </c>
      <c r="V4" s="19">
        <v>0.12</v>
      </c>
      <c r="W4" s="19">
        <v>0.22</v>
      </c>
      <c r="X4" s="19">
        <v>0.15</v>
      </c>
      <c r="Y4" s="19">
        <v>0.105</v>
      </c>
      <c r="Z4" s="19">
        <v>0.111</v>
      </c>
      <c r="AA4" s="19">
        <v>0.128</v>
      </c>
      <c r="AB4" s="19">
        <v>6.4000000000000001E-2</v>
      </c>
      <c r="AC4" s="19">
        <v>4.1000000000000002E-2</v>
      </c>
      <c r="AD4" s="19">
        <v>3.9399999999999998E-2</v>
      </c>
      <c r="AE4" s="43">
        <v>2.1999999999999999E-2</v>
      </c>
      <c r="AF4" s="43">
        <v>2.4E-2</v>
      </c>
    </row>
    <row r="5" spans="1:32" x14ac:dyDescent="0.3">
      <c r="A5" s="5" t="s">
        <v>8</v>
      </c>
      <c r="B5" s="12">
        <v>3</v>
      </c>
      <c r="C5" s="1" t="s">
        <v>86</v>
      </c>
      <c r="D5" s="3"/>
      <c r="E5" s="3"/>
      <c r="F5" s="3"/>
      <c r="G5" s="3"/>
      <c r="H5" s="3">
        <v>150</v>
      </c>
      <c r="I5" s="3">
        <v>150</v>
      </c>
      <c r="J5" s="3">
        <v>150</v>
      </c>
      <c r="K5" s="3">
        <v>150</v>
      </c>
      <c r="L5" s="3">
        <v>150</v>
      </c>
      <c r="M5" s="3">
        <v>150</v>
      </c>
      <c r="N5" s="3">
        <v>150</v>
      </c>
      <c r="O5" s="3">
        <v>150</v>
      </c>
      <c r="P5" s="3">
        <v>150</v>
      </c>
      <c r="Q5" s="3">
        <v>150</v>
      </c>
      <c r="R5" s="3">
        <v>150</v>
      </c>
      <c r="S5" s="3">
        <v>150</v>
      </c>
      <c r="T5" s="3">
        <v>150</v>
      </c>
      <c r="U5" s="3">
        <v>450.88044100000002</v>
      </c>
      <c r="V5" s="3">
        <v>450.88044100000002</v>
      </c>
      <c r="W5" s="3">
        <v>450.88044100000002</v>
      </c>
      <c r="X5" s="3">
        <v>450.88044100000002</v>
      </c>
      <c r="Y5" s="3">
        <v>450.88044100000002</v>
      </c>
      <c r="Z5" s="3">
        <v>450.88044100000002</v>
      </c>
      <c r="AA5" s="3">
        <v>450.88044100000002</v>
      </c>
      <c r="AB5" s="3">
        <v>450.88044100000002</v>
      </c>
      <c r="AC5" s="3">
        <v>450.88044100000002</v>
      </c>
      <c r="AD5" s="3">
        <v>450.88044100000002</v>
      </c>
      <c r="AE5" s="3">
        <v>526.22550799999999</v>
      </c>
      <c r="AF5" s="3">
        <v>526.22550799999999</v>
      </c>
    </row>
    <row r="6" spans="1:32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>
        <f>((64496757+26730614+669499)*5)/1000000</f>
        <v>459.48435000000001</v>
      </c>
      <c r="I6" s="7">
        <f>((105156919+21421508+701028)*5)/1000000</f>
        <v>636.39727500000004</v>
      </c>
      <c r="J6" s="7">
        <f>(1151080.74+1447.39+3258.05)/1000</f>
        <v>1155.7861799999998</v>
      </c>
      <c r="K6" s="7">
        <f>(1156155.02+1517.36+1955.47)/1000</f>
        <v>1159.6278500000001</v>
      </c>
      <c r="L6" s="7">
        <f>(902926.72+68.68699)/1000</f>
        <v>902.99540698999988</v>
      </c>
      <c r="M6" s="7">
        <f>(882865.91+68.30191)/1000</f>
        <v>882.93421191000004</v>
      </c>
      <c r="N6" s="7">
        <v>1091.038</v>
      </c>
      <c r="O6" s="7">
        <v>1108.4559999999999</v>
      </c>
      <c r="P6" s="7">
        <v>1109.9490000000001</v>
      </c>
      <c r="Q6" s="7">
        <v>1090.961</v>
      </c>
      <c r="R6" s="7">
        <v>1078.0830000000001</v>
      </c>
      <c r="S6" s="7">
        <v>970.83299999999997</v>
      </c>
      <c r="T6" s="7">
        <v>1017.471</v>
      </c>
      <c r="U6" s="7">
        <v>1025.443</v>
      </c>
      <c r="V6" s="7">
        <v>963.99400000000003</v>
      </c>
      <c r="W6" s="7">
        <v>921.26099999999997</v>
      </c>
      <c r="X6" s="7">
        <v>942.51700000000005</v>
      </c>
      <c r="Y6" s="7">
        <v>909.72299999999996</v>
      </c>
      <c r="Z6" s="7">
        <v>888.4</v>
      </c>
      <c r="AA6" s="7">
        <v>914.3</v>
      </c>
      <c r="AB6" s="7">
        <v>887.8</v>
      </c>
      <c r="AC6" s="7">
        <v>1060</v>
      </c>
      <c r="AD6" s="7">
        <v>1041.3</v>
      </c>
      <c r="AE6" s="7"/>
      <c r="AF6" s="1"/>
    </row>
    <row r="7" spans="1:32" x14ac:dyDescent="0.3">
      <c r="A7" s="101"/>
      <c r="B7" s="13">
        <v>5</v>
      </c>
      <c r="C7" s="1" t="s">
        <v>9</v>
      </c>
      <c r="D7" s="3"/>
      <c r="E7" s="3"/>
      <c r="F7" s="3"/>
      <c r="G7" s="3"/>
      <c r="H7" s="3">
        <f>H8+((4516181*5)/1000000)</f>
        <v>45.078275000000005</v>
      </c>
      <c r="I7" s="3">
        <f>I8+((5686184*5)/1000000)</f>
        <v>42.055039999999998</v>
      </c>
      <c r="J7" s="3">
        <f>J8+(17070.87/1000)</f>
        <v>40.809579999999997</v>
      </c>
      <c r="K7" s="3">
        <f>K8+(16976.43/1000)</f>
        <v>27.24906</v>
      </c>
      <c r="L7" s="3">
        <f>L8+15.664</f>
        <v>26.951409999999999</v>
      </c>
      <c r="M7" s="3">
        <f>M8+15.664</f>
        <v>25.4282</v>
      </c>
      <c r="N7" s="3">
        <v>38.728999999999999</v>
      </c>
      <c r="O7" s="3">
        <v>31.305</v>
      </c>
      <c r="P7" s="3">
        <v>20.021000000000001</v>
      </c>
      <c r="Q7" s="3">
        <v>35.747999999999998</v>
      </c>
      <c r="R7" s="3">
        <v>40.302</v>
      </c>
      <c r="S7" s="3">
        <v>29.998999999999999</v>
      </c>
      <c r="T7" s="3">
        <v>30.579000000000001</v>
      </c>
      <c r="U7" s="3">
        <v>23.326000000000001</v>
      </c>
      <c r="V7" s="3">
        <v>17.701000000000001</v>
      </c>
      <c r="W7" s="3">
        <v>22.454000000000001</v>
      </c>
      <c r="X7" s="3">
        <v>23.83</v>
      </c>
      <c r="Y7" s="3">
        <v>22.1</v>
      </c>
      <c r="Z7" s="3">
        <v>26.9</v>
      </c>
      <c r="AA7" s="3">
        <v>19.009</v>
      </c>
      <c r="AB7" s="3">
        <v>16.399999999999999</v>
      </c>
      <c r="AC7" s="3">
        <v>26.7</v>
      </c>
      <c r="AD7" s="3">
        <v>15.8</v>
      </c>
      <c r="AE7" s="3"/>
      <c r="AF7" s="1"/>
    </row>
    <row r="8" spans="1:32" x14ac:dyDescent="0.3">
      <c r="A8" s="101"/>
      <c r="B8" s="13">
        <v>6</v>
      </c>
      <c r="C8" s="6" t="s">
        <v>10</v>
      </c>
      <c r="D8" s="7"/>
      <c r="E8" s="7"/>
      <c r="F8" s="7"/>
      <c r="G8" s="7"/>
      <c r="H8" s="7">
        <f>(4499474*5)/1000000</f>
        <v>22.49737</v>
      </c>
      <c r="I8" s="7">
        <f>(2724824*5)/1000000</f>
        <v>13.62412</v>
      </c>
      <c r="J8" s="7">
        <f>23738.71/1000</f>
        <v>23.738709999999998</v>
      </c>
      <c r="K8" s="19">
        <f>10272.63/1000</f>
        <v>10.272629999999999</v>
      </c>
      <c r="L8" s="7">
        <v>11.287409999999999</v>
      </c>
      <c r="M8" s="7">
        <v>9.7642000000000007</v>
      </c>
      <c r="N8" s="7">
        <v>28.890999999999998</v>
      </c>
      <c r="O8" s="7">
        <v>23.952999999999999</v>
      </c>
      <c r="P8" s="7">
        <f>P7-6.82</f>
        <v>13.201000000000001</v>
      </c>
      <c r="Q8" s="7">
        <f>Q7-6.396</f>
        <v>29.351999999999997</v>
      </c>
      <c r="R8" s="7">
        <f>R7-6.706</f>
        <v>33.595999999999997</v>
      </c>
      <c r="S8" s="7">
        <f>S7-6.291</f>
        <v>23.707999999999998</v>
      </c>
      <c r="T8" s="7">
        <f>T7-6.463</f>
        <v>24.116</v>
      </c>
      <c r="U8" s="7">
        <f>U7-5.977</f>
        <v>17.349</v>
      </c>
      <c r="V8" s="7">
        <f>V7-5.527</f>
        <v>12.173999999999999</v>
      </c>
      <c r="W8" s="7">
        <f>W7-5.658</f>
        <v>16.795999999999999</v>
      </c>
      <c r="X8" s="7">
        <v>18.2</v>
      </c>
      <c r="Y8" s="7">
        <v>17</v>
      </c>
      <c r="Z8" s="7">
        <v>21.3</v>
      </c>
      <c r="AA8" s="7">
        <v>13.5</v>
      </c>
      <c r="AB8" s="7">
        <v>10.6</v>
      </c>
      <c r="AC8" s="7">
        <v>10.8</v>
      </c>
      <c r="AD8" s="7">
        <v>-2.7</v>
      </c>
      <c r="AE8" s="7"/>
      <c r="AF8" s="1"/>
    </row>
    <row r="9" spans="1:32" x14ac:dyDescent="0.3">
      <c r="A9" s="101"/>
      <c r="B9" s="13">
        <v>11</v>
      </c>
      <c r="C9" s="1" t="s">
        <v>11</v>
      </c>
      <c r="D9" s="3"/>
      <c r="E9" s="3"/>
      <c r="F9" s="3"/>
      <c r="G9" s="3"/>
      <c r="H9" s="3">
        <f>-(1896775*5)/1000000</f>
        <v>-9.4838749999999994</v>
      </c>
      <c r="I9" s="3">
        <f>-(1067960*5)/1000000</f>
        <v>-5.3398000000000003</v>
      </c>
      <c r="J9" s="3">
        <f>-9466.58/1000</f>
        <v>-9.4665800000000004</v>
      </c>
      <c r="K9" s="35">
        <f>-17928.04/1000</f>
        <v>-17.928039999999999</v>
      </c>
      <c r="L9" s="3">
        <v>-12.362</v>
      </c>
      <c r="M9" s="35">
        <v>-8.8759999999999994</v>
      </c>
      <c r="N9" s="3">
        <v>-20.347999999999999</v>
      </c>
      <c r="O9" s="3">
        <v>-22.808</v>
      </c>
      <c r="P9" s="3">
        <v>-23.966999999999999</v>
      </c>
      <c r="Q9" s="3">
        <v>-35.381999999999998</v>
      </c>
      <c r="R9" s="3">
        <v>-31.89</v>
      </c>
      <c r="S9" s="3">
        <v>-18.71</v>
      </c>
      <c r="T9" s="3">
        <v>-15.959</v>
      </c>
      <c r="U9" s="3">
        <v>-20.422999999999998</v>
      </c>
      <c r="V9" s="3">
        <f>-16.749</f>
        <v>-16.748999999999999</v>
      </c>
      <c r="W9" s="3">
        <v>-14.872</v>
      </c>
      <c r="X9" s="3">
        <v>-13.9</v>
      </c>
      <c r="Y9" s="3">
        <v>-11.7</v>
      </c>
      <c r="Z9" s="3">
        <v>-11.4</v>
      </c>
      <c r="AA9" s="3">
        <v>-10.5</v>
      </c>
      <c r="AB9" s="3">
        <v>-11.5</v>
      </c>
      <c r="AC9" s="3">
        <v>-13.4</v>
      </c>
      <c r="AD9" s="3">
        <v>-13.5</v>
      </c>
      <c r="AE9" s="3"/>
      <c r="AF9" s="1"/>
    </row>
    <row r="10" spans="1:32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>
        <f>(4242119*5)/1000000</f>
        <v>21.210595000000001</v>
      </c>
      <c r="I10" s="7">
        <f>(2091964*5)/1000000</f>
        <v>10.459820000000001</v>
      </c>
      <c r="J10" s="7">
        <f>4876.42/1000</f>
        <v>4.8764200000000004</v>
      </c>
      <c r="K10" s="7">
        <f>-7335.61/1000</f>
        <v>-7.33561</v>
      </c>
      <c r="L10" s="7">
        <v>3.1440000000000001</v>
      </c>
      <c r="M10" s="7">
        <v>4.0259999999999998</v>
      </c>
      <c r="N10" s="7">
        <v>8.9359999999999999</v>
      </c>
      <c r="O10" s="7">
        <v>2.4710000000000001</v>
      </c>
      <c r="P10" s="7">
        <v>53.298999999999999</v>
      </c>
      <c r="Q10" s="7">
        <v>6.2380000000000004</v>
      </c>
      <c r="R10" s="7">
        <v>1.454</v>
      </c>
      <c r="S10" s="7">
        <v>4.9189999999999996</v>
      </c>
      <c r="T10" s="7">
        <v>8.1219999999999999</v>
      </c>
      <c r="U10" s="7">
        <v>-3.0720000000000001</v>
      </c>
      <c r="V10" s="7">
        <v>-4.5709999999999997</v>
      </c>
      <c r="W10" s="7">
        <v>1.9159999999999999</v>
      </c>
      <c r="X10" s="7">
        <v>2.5</v>
      </c>
      <c r="Y10" s="7">
        <v>1.7</v>
      </c>
      <c r="Z10" s="7">
        <v>7.1</v>
      </c>
      <c r="AA10" s="19">
        <v>0.3</v>
      </c>
      <c r="AB10" s="19">
        <v>-3.7</v>
      </c>
      <c r="AC10" s="7">
        <v>-4.9000000000000004</v>
      </c>
      <c r="AD10" s="7">
        <v>-18.2</v>
      </c>
      <c r="AE10" s="7"/>
      <c r="AF10" s="1"/>
    </row>
    <row r="11" spans="1:32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>
        <f>(522834*5)/1000000</f>
        <v>2.6141700000000001</v>
      </c>
      <c r="I11" s="3">
        <f>(793643*5)/1000000</f>
        <v>3.9682149999999998</v>
      </c>
      <c r="J11" s="3">
        <f>4443/1000</f>
        <v>4.4429999999999996</v>
      </c>
      <c r="K11" s="22">
        <f>282.06/1000</f>
        <v>0.28205999999999998</v>
      </c>
      <c r="L11" s="3">
        <v>2.1520000000000001</v>
      </c>
      <c r="M11" s="3">
        <v>2.8450000000000002</v>
      </c>
      <c r="N11" s="3">
        <v>3.3610000000000002</v>
      </c>
      <c r="O11" s="3">
        <v>0.76300000000000001</v>
      </c>
      <c r="P11" s="22">
        <v>0.23699999999999999</v>
      </c>
      <c r="Q11" s="22">
        <v>0.32800000000000001</v>
      </c>
      <c r="R11" s="22">
        <v>0.39600000000000002</v>
      </c>
      <c r="S11" s="3">
        <v>2.6509999999999998</v>
      </c>
      <c r="T11" s="3">
        <v>5.0789999999999997</v>
      </c>
      <c r="U11" s="3">
        <v>2.9060000000000001</v>
      </c>
      <c r="V11" s="3">
        <v>1.1990000000000001</v>
      </c>
      <c r="W11" s="3">
        <v>0.56299999999999994</v>
      </c>
      <c r="X11" s="3">
        <v>0.5</v>
      </c>
      <c r="Y11" s="3">
        <v>2.2000000000000002</v>
      </c>
      <c r="Z11" s="3">
        <v>2.8</v>
      </c>
      <c r="AA11" s="35">
        <v>0</v>
      </c>
      <c r="AB11" s="35">
        <v>-0.1</v>
      </c>
      <c r="AC11" s="3">
        <v>-0.8</v>
      </c>
      <c r="AD11" s="3">
        <v>-2.8</v>
      </c>
      <c r="AE11" s="3"/>
      <c r="AF11" s="1"/>
    </row>
    <row r="12" spans="1:32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>
        <f>(3394016*5)/1000000</f>
        <v>16.970079999999999</v>
      </c>
      <c r="I12" s="7">
        <f>(1357865*5)/1000000</f>
        <v>6.7893249999999998</v>
      </c>
      <c r="J12" s="43">
        <f>6.9/1000</f>
        <v>6.9000000000000008E-3</v>
      </c>
      <c r="K12" s="7">
        <f>-7800.41/1000</f>
        <v>-7.8004100000000003</v>
      </c>
      <c r="L12" s="7">
        <f>1127922.21/1000000</f>
        <v>1.1279222099999999</v>
      </c>
      <c r="M12" s="7">
        <f>1098387.99/1000000</f>
        <v>1.09838799</v>
      </c>
      <c r="N12" s="7">
        <v>5.5750000000000002</v>
      </c>
      <c r="O12" s="7">
        <v>1.7090000000000001</v>
      </c>
      <c r="P12" s="7">
        <v>-53.061999999999998</v>
      </c>
      <c r="Q12" s="7">
        <v>-10.256</v>
      </c>
      <c r="R12" s="7">
        <v>1.1140000000000001</v>
      </c>
      <c r="S12" s="7">
        <v>2.2669999999999999</v>
      </c>
      <c r="T12" s="7">
        <v>3.044</v>
      </c>
      <c r="U12" s="7">
        <v>5.9779999999999998</v>
      </c>
      <c r="V12" s="7">
        <v>-5.77</v>
      </c>
      <c r="W12" s="7">
        <v>1.353</v>
      </c>
      <c r="X12" s="7">
        <v>2.1</v>
      </c>
      <c r="Y12" s="7">
        <v>-0.4</v>
      </c>
      <c r="Z12" s="7">
        <v>4.4000000000000004</v>
      </c>
      <c r="AA12" s="19">
        <v>0.2</v>
      </c>
      <c r="AB12" s="19">
        <v>-3.6</v>
      </c>
      <c r="AC12" s="7">
        <v>-4.0999999999999996</v>
      </c>
      <c r="AD12" s="7">
        <v>-15.5</v>
      </c>
      <c r="AE12" s="7"/>
      <c r="AF12" s="1"/>
    </row>
    <row r="13" spans="1:32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3">
        <v>0</v>
      </c>
      <c r="I13" s="3">
        <v>0</v>
      </c>
      <c r="J13" s="22">
        <f>(4641.69/1000)/J5</f>
        <v>3.0944599999999999E-2</v>
      </c>
      <c r="K13" s="22">
        <f>(1810.7/1000)/K5</f>
        <v>1.2071333333333333E-2</v>
      </c>
      <c r="L13" s="22">
        <f>(225.85/1000)/L5</f>
        <v>1.5056666666666667E-3</v>
      </c>
      <c r="M13" s="22">
        <f>(825/1000)/M5</f>
        <v>5.4999999999999997E-3</v>
      </c>
      <c r="N13" s="22">
        <f>103/N5</f>
        <v>0.68666666666666665</v>
      </c>
      <c r="O13" s="22">
        <f>37/O5</f>
        <v>0.24666666666666667</v>
      </c>
      <c r="P13" s="22">
        <f>1.127/P5</f>
        <v>7.5133333333333337E-3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11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1"/>
    </row>
    <row r="14" spans="1:32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>
        <f>(3538202+3091391*5)/1000000</f>
        <v>18.995156999999999</v>
      </c>
      <c r="I14" s="7">
        <f>(3502807+3072321*5)/1000000</f>
        <v>18.864412000000002</v>
      </c>
      <c r="J14" s="7">
        <f>(14373.53+21165.74)/1000</f>
        <v>35.539270000000002</v>
      </c>
      <c r="K14" s="7">
        <f>(13085.39+14461.08)/1000</f>
        <v>27.546470000000003</v>
      </c>
      <c r="L14" s="7">
        <f>-15.693</f>
        <v>-15.693</v>
      </c>
      <c r="M14" s="7">
        <v>-43.500999999999998</v>
      </c>
      <c r="N14" s="7">
        <f>-6.032</f>
        <v>-6.032</v>
      </c>
      <c r="O14" s="7">
        <v>-35.615000000000002</v>
      </c>
      <c r="P14" s="7">
        <v>18.245999999999999</v>
      </c>
      <c r="Q14" s="7">
        <v>160.74</v>
      </c>
      <c r="R14" s="7">
        <v>-87.641000000000005</v>
      </c>
      <c r="S14" s="7">
        <v>9.1359999999999992</v>
      </c>
      <c r="T14" s="7">
        <v>-19.704000000000001</v>
      </c>
      <c r="U14" s="7">
        <v>34.488999999999997</v>
      </c>
      <c r="V14" s="7">
        <v>8.7810000000000006</v>
      </c>
      <c r="W14" s="7">
        <v>25</v>
      </c>
      <c r="X14" s="7">
        <v>31.8</v>
      </c>
      <c r="Y14" s="7">
        <v>25.5</v>
      </c>
      <c r="Z14" s="7">
        <v>22.3</v>
      </c>
      <c r="AA14" s="7">
        <v>19.3</v>
      </c>
      <c r="AB14" s="7">
        <v>17.899999999999999</v>
      </c>
      <c r="AC14" s="7">
        <v>37.700000000000003</v>
      </c>
      <c r="AD14" s="7">
        <v>9.4</v>
      </c>
      <c r="AE14" s="7">
        <v>9.1</v>
      </c>
      <c r="AF14" s="1"/>
    </row>
    <row r="15" spans="1:32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>
        <f>(1875000+10912879+500000+3250000+70627994)*5/1000000</f>
        <v>435.829365</v>
      </c>
      <c r="I15" s="3">
        <f>(53101994+1000000+1875000+44764460)*5/1000000</f>
        <v>503.70726999999999</v>
      </c>
      <c r="J15" s="3">
        <f>(334298.43+175543.859)/1000</f>
        <v>509.84228899999999</v>
      </c>
      <c r="K15" s="3">
        <f>(303023.58+91012.14+112766.56+24.79)/1000</f>
        <v>506.82706999999999</v>
      </c>
      <c r="L15" s="3">
        <f>317.14+121.012+125.229+12.39</f>
        <v>575.77099999999996</v>
      </c>
      <c r="M15" s="3">
        <f>253.13+121+162.192+0.01239</f>
        <v>536.33438999999998</v>
      </c>
      <c r="N15" s="3">
        <f>246+55.08+156.241</f>
        <v>457.32100000000003</v>
      </c>
      <c r="O15" s="3">
        <f>77.294+41.733+98</f>
        <v>217.02699999999999</v>
      </c>
      <c r="P15" s="3">
        <f>77.294+91+45.943767</f>
        <v>214.23776699999999</v>
      </c>
      <c r="Q15" s="3">
        <f>80.292+133.04+326.525</f>
        <v>539.85699999999997</v>
      </c>
      <c r="R15" s="3">
        <f>102.733+134.77+228.922</f>
        <v>466.42500000000001</v>
      </c>
      <c r="S15" s="3">
        <f>97.61+210.07+109.244</f>
        <v>416.92399999999998</v>
      </c>
      <c r="T15" s="3">
        <f>97.61+210.07+112.18</f>
        <v>419.86</v>
      </c>
      <c r="U15" s="3">
        <f>157.227+32.8+248.571</f>
        <v>438.59799999999996</v>
      </c>
      <c r="V15" s="3">
        <f>91.697+52.872+222.174</f>
        <v>366.74300000000005</v>
      </c>
      <c r="W15" s="3">
        <f>111.436+47.002+207.599</f>
        <v>366.03700000000003</v>
      </c>
      <c r="X15" s="3">
        <v>348.5</v>
      </c>
      <c r="Y15" s="3">
        <f>172.23+44.647+119.529</f>
        <v>336.40599999999995</v>
      </c>
      <c r="Z15" s="3">
        <f>181.629+43.953+87.381</f>
        <v>312.96299999999997</v>
      </c>
      <c r="AA15" s="3">
        <f>201.798+43.952+69.979</f>
        <v>315.72899999999998</v>
      </c>
      <c r="AB15" s="3">
        <v>290.10000000000002</v>
      </c>
      <c r="AC15" s="3">
        <v>375</v>
      </c>
      <c r="AD15" s="3">
        <v>324.39999999999998</v>
      </c>
      <c r="AE15" s="3">
        <v>334.5</v>
      </c>
      <c r="AF15" s="1"/>
    </row>
    <row r="16" spans="1:32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7">
        <f>(8036964*5)/1000000</f>
        <v>40.184820000000002</v>
      </c>
      <c r="I16" s="7">
        <f>(7974179*5)/1000000</f>
        <v>39.870894999999997</v>
      </c>
      <c r="J16" s="7">
        <f>2213.83/1000</f>
        <v>2.2138299999999997</v>
      </c>
      <c r="K16" s="7">
        <f>2200.87/1000</f>
        <v>2.2008700000000001</v>
      </c>
      <c r="L16" s="7">
        <v>1.764</v>
      </c>
      <c r="M16" s="7">
        <v>1.776</v>
      </c>
      <c r="N16" s="7">
        <v>7.4969999999999999</v>
      </c>
      <c r="O16" s="7">
        <v>7.2350000000000003</v>
      </c>
      <c r="P16" s="7">
        <v>7.641</v>
      </c>
      <c r="Q16" s="7">
        <v>1.3180000000000001</v>
      </c>
      <c r="R16" s="7">
        <v>1.0329999999999999</v>
      </c>
      <c r="S16" s="7">
        <v>1.0329999999999999</v>
      </c>
      <c r="T16" s="7">
        <v>1.032</v>
      </c>
      <c r="U16" s="7">
        <v>3.9910000000000001</v>
      </c>
      <c r="V16" s="7">
        <v>4.0679999999999996</v>
      </c>
      <c r="W16" s="7">
        <v>1.2110000000000001</v>
      </c>
      <c r="X16" s="7">
        <v>0.1</v>
      </c>
      <c r="Y16" s="7">
        <v>0</v>
      </c>
      <c r="Z16" s="7">
        <v>-0.1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1"/>
    </row>
    <row r="17" spans="1:32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1"/>
    </row>
    <row r="18" spans="1:32" x14ac:dyDescent="0.3">
      <c r="A18" s="103"/>
      <c r="B18" s="14">
        <v>15</v>
      </c>
      <c r="C18" s="6" t="s">
        <v>19</v>
      </c>
      <c r="D18" s="7"/>
      <c r="E18" s="7"/>
      <c r="F18" s="7"/>
      <c r="G18" s="7"/>
      <c r="H18" s="7">
        <f>(118565305*5)/1000000</f>
        <v>592.82652499999995</v>
      </c>
      <c r="I18" s="7">
        <f>(134437474*5)/1000000</f>
        <v>672.18736999999999</v>
      </c>
      <c r="J18" s="7">
        <f>657430.68/1000</f>
        <v>657.43068000000005</v>
      </c>
      <c r="K18" s="7">
        <f>643678.34/1000</f>
        <v>643.67833999999993</v>
      </c>
      <c r="L18" s="7">
        <v>713.82</v>
      </c>
      <c r="M18" s="7">
        <v>678.73400000000004</v>
      </c>
      <c r="N18" s="7">
        <v>594.22765000000004</v>
      </c>
      <c r="O18" s="7">
        <v>637.20799999999997</v>
      </c>
      <c r="P18" s="7">
        <f>P19+442.142</f>
        <v>740.94</v>
      </c>
      <c r="Q18" s="7">
        <f>Q19+254.757</f>
        <v>703.92599999999993</v>
      </c>
      <c r="R18" s="7">
        <f>R19+282.384</f>
        <v>612.54899999999998</v>
      </c>
      <c r="S18" s="7">
        <f>S19+131.841</f>
        <v>547.42000000000007</v>
      </c>
      <c r="T18" s="7">
        <f>T19+225.452</f>
        <v>579.43200000000002</v>
      </c>
      <c r="U18" s="7">
        <f>U19+220.278</f>
        <v>485.673</v>
      </c>
      <c r="V18" s="7">
        <f>V19+172.607</f>
        <v>480.87199999999996</v>
      </c>
      <c r="W18" s="7">
        <f>W19+193.225</f>
        <v>482.53999999999996</v>
      </c>
      <c r="X18" s="7">
        <f>X19+240.377</f>
        <v>473.17700000000002</v>
      </c>
      <c r="Y18" s="7">
        <v>481.8</v>
      </c>
      <c r="Z18" s="7">
        <v>493.2</v>
      </c>
      <c r="AA18" s="7">
        <v>485.1</v>
      </c>
      <c r="AB18" s="7">
        <v>457.7</v>
      </c>
      <c r="AC18" s="7">
        <v>620.29999999999995</v>
      </c>
      <c r="AD18" s="7">
        <v>572.79999999999995</v>
      </c>
      <c r="AE18" s="7">
        <v>591.9</v>
      </c>
      <c r="AF18" s="1"/>
    </row>
    <row r="19" spans="1:32" x14ac:dyDescent="0.3">
      <c r="A19" s="103"/>
      <c r="B19" s="14">
        <v>18</v>
      </c>
      <c r="C19" s="1" t="s">
        <v>21</v>
      </c>
      <c r="D19" s="3"/>
      <c r="E19" s="3"/>
      <c r="F19" s="3"/>
      <c r="G19" s="3"/>
      <c r="H19" s="3">
        <f>(95411022*5)/1000000</f>
        <v>477.05511000000001</v>
      </c>
      <c r="I19" s="3">
        <f>(71198668*5)/1000000</f>
        <v>355.99333999999999</v>
      </c>
      <c r="J19" s="3">
        <f>274950.17/1000</f>
        <v>274.95016999999996</v>
      </c>
      <c r="K19" s="3">
        <f>213849.31/1000</f>
        <v>213.84931</v>
      </c>
      <c r="L19" s="3">
        <f>4084753.2/1000000</f>
        <v>4.0847531999999998</v>
      </c>
      <c r="M19" s="3">
        <v>247.01</v>
      </c>
      <c r="N19" s="3">
        <v>241.89</v>
      </c>
      <c r="O19" s="3">
        <v>323.04700000000003</v>
      </c>
      <c r="P19" s="3">
        <v>298.798</v>
      </c>
      <c r="Q19" s="3">
        <v>449.16899999999998</v>
      </c>
      <c r="R19" s="3">
        <v>330.16500000000002</v>
      </c>
      <c r="S19" s="3">
        <v>415.57900000000001</v>
      </c>
      <c r="T19" s="3">
        <v>353.98</v>
      </c>
      <c r="U19" s="3">
        <v>265.39499999999998</v>
      </c>
      <c r="V19" s="3">
        <v>308.26499999999999</v>
      </c>
      <c r="W19" s="3">
        <v>289.315</v>
      </c>
      <c r="X19" s="3">
        <v>232.8</v>
      </c>
      <c r="Y19" s="3">
        <v>202.8</v>
      </c>
      <c r="Z19" s="3">
        <v>206.5</v>
      </c>
      <c r="AA19" s="3">
        <v>181.9</v>
      </c>
      <c r="AB19" s="3">
        <v>164.3</v>
      </c>
      <c r="AC19" s="3">
        <v>274.8</v>
      </c>
      <c r="AD19" s="3">
        <v>272.2</v>
      </c>
      <c r="AE19" s="3">
        <v>305.7</v>
      </c>
      <c r="AF19" s="1"/>
    </row>
    <row r="20" spans="1:32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>
        <f>(13850.909+34859.9+3528.202)*5/1000</f>
        <v>261.19505499999997</v>
      </c>
      <c r="I20" s="7">
        <f>(15416.366+43246.057+3502.807)*5/1000</f>
        <v>310.82615000000004</v>
      </c>
      <c r="J20" s="7">
        <f>98.06+194.254+14.373</f>
        <v>306.68699999999995</v>
      </c>
      <c r="K20" s="7">
        <f>86.82+159.422+13.085</f>
        <v>259.327</v>
      </c>
      <c r="L20" s="7">
        <f>L21+210.9+6.795</f>
        <v>298.15600000000001</v>
      </c>
      <c r="M20" s="7">
        <f>M21+163.84+15.302</f>
        <v>256.86200000000002</v>
      </c>
      <c r="N20" s="7">
        <f>N21+90.013+5.794</f>
        <v>178.66200000000001</v>
      </c>
      <c r="O20" s="7">
        <v>736.72299999999996</v>
      </c>
      <c r="P20" s="7">
        <v>646.255</v>
      </c>
      <c r="Q20" s="7">
        <v>443.21899999999999</v>
      </c>
      <c r="R20" s="7">
        <v>353.35700000000003</v>
      </c>
      <c r="S20" s="7">
        <v>296.85500000000002</v>
      </c>
      <c r="T20" s="7">
        <v>338.00200000000001</v>
      </c>
      <c r="U20" s="7">
        <v>299</v>
      </c>
      <c r="V20" s="7">
        <f>279.609</f>
        <v>279.60899999999998</v>
      </c>
      <c r="W20" s="7">
        <f>274.197</f>
        <v>274.197</v>
      </c>
      <c r="X20" s="7">
        <f>267.643</f>
        <v>267.64299999999997</v>
      </c>
      <c r="Y20" s="7">
        <f>255.305</f>
        <v>255.30500000000001</v>
      </c>
      <c r="Z20" s="7">
        <v>265.30700000000002</v>
      </c>
      <c r="AA20" s="7">
        <v>258.03199999999998</v>
      </c>
      <c r="AB20" s="7">
        <v>232.6</v>
      </c>
      <c r="AC20" s="7">
        <v>292.3</v>
      </c>
      <c r="AD20" s="7">
        <v>232.3</v>
      </c>
      <c r="AE20" s="7">
        <v>254.4</v>
      </c>
      <c r="AF20" s="1"/>
    </row>
    <row r="21" spans="1:32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>
        <f>(33850909*5)/1000000</f>
        <v>169.25454500000001</v>
      </c>
      <c r="I21" s="3">
        <f>(15416366*5)/1000000</f>
        <v>77.081829999999997</v>
      </c>
      <c r="J21" s="3">
        <f>98060.35/1000</f>
        <v>98.06035</v>
      </c>
      <c r="K21" s="3">
        <f>86820.24/1000</f>
        <v>86.820239999999998</v>
      </c>
      <c r="L21" s="3">
        <v>80.460999999999999</v>
      </c>
      <c r="M21" s="3">
        <v>77.72</v>
      </c>
      <c r="N21" s="3">
        <v>82.855000000000004</v>
      </c>
      <c r="O21" s="3">
        <v>84.36</v>
      </c>
      <c r="P21" s="3">
        <v>82.966999999999999</v>
      </c>
      <c r="Q21" s="3">
        <v>78.796999999999997</v>
      </c>
      <c r="R21" s="3">
        <v>83.427000000000007</v>
      </c>
      <c r="S21" s="3">
        <v>65.292000000000002</v>
      </c>
      <c r="T21" s="3">
        <v>79.298000000000002</v>
      </c>
      <c r="U21" s="3">
        <v>71.028999999999996</v>
      </c>
      <c r="V21" s="3">
        <f>65.85</f>
        <v>65.849999999999994</v>
      </c>
      <c r="W21" s="3">
        <f>67.895</f>
        <v>67.894999999999996</v>
      </c>
      <c r="X21" s="3">
        <v>62.957000000000001</v>
      </c>
      <c r="Y21" s="3">
        <v>63.213999999999999</v>
      </c>
      <c r="Z21" s="3">
        <v>66.792000000000002</v>
      </c>
      <c r="AA21" s="3">
        <v>65.128</v>
      </c>
      <c r="AB21" s="3">
        <v>58.7</v>
      </c>
      <c r="AC21" s="3">
        <v>71.099999999999994</v>
      </c>
      <c r="AD21" s="3">
        <v>62.2</v>
      </c>
      <c r="AE21" s="3">
        <v>66.8</v>
      </c>
      <c r="AF21" s="1"/>
    </row>
    <row r="22" spans="1:32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>
        <f>(1548911+27492230+415914)*5/1000000</f>
        <v>147.28527500000001</v>
      </c>
      <c r="I22" s="7">
        <f>(232480+35307346+505275)*5/1000000</f>
        <v>180.225505</v>
      </c>
      <c r="J22" s="7">
        <f>(117318.02+5317.87)/1000</f>
        <v>122.63589</v>
      </c>
      <c r="K22" s="7">
        <f>(112079.76+10463.88)/1000</f>
        <v>122.54364</v>
      </c>
      <c r="L22" s="7">
        <f>(118.696+11.751)</f>
        <v>130.447</v>
      </c>
      <c r="M22" s="7">
        <f>115.323+22.923</f>
        <v>138.24599999999998</v>
      </c>
      <c r="N22" s="7">
        <f>43.328+14.249</f>
        <v>57.577000000000005</v>
      </c>
      <c r="O22" s="7">
        <v>99.742999999999995</v>
      </c>
      <c r="P22" s="7">
        <v>243.10599999999999</v>
      </c>
      <c r="Q22" s="7">
        <v>222.48699999999999</v>
      </c>
      <c r="R22" s="7">
        <v>210.12</v>
      </c>
      <c r="S22" s="7">
        <v>174.24</v>
      </c>
      <c r="T22" s="7">
        <v>197.322</v>
      </c>
      <c r="U22" s="7">
        <v>166.619</v>
      </c>
      <c r="V22" s="7">
        <f>146.328</f>
        <v>146.328</v>
      </c>
      <c r="W22" s="7">
        <f>141.913</f>
        <v>141.91300000000001</v>
      </c>
      <c r="X22" s="7">
        <v>156.9</v>
      </c>
      <c r="Y22" s="7">
        <v>162.5</v>
      </c>
      <c r="Z22" s="7">
        <v>172.7</v>
      </c>
      <c r="AA22" s="7">
        <v>132.6</v>
      </c>
      <c r="AB22" s="7">
        <v>125.2</v>
      </c>
      <c r="AC22" s="7">
        <v>143.4</v>
      </c>
      <c r="AD22" s="7">
        <v>127.5</v>
      </c>
      <c r="AE22" s="7">
        <v>133.9</v>
      </c>
      <c r="AF22" s="1"/>
    </row>
    <row r="23" spans="1:32" x14ac:dyDescent="0.3">
      <c r="A23" s="103"/>
      <c r="B23" s="14">
        <v>16</v>
      </c>
      <c r="C23" s="1" t="s">
        <v>20</v>
      </c>
      <c r="D23" s="3"/>
      <c r="E23" s="3"/>
      <c r="F23" s="3"/>
      <c r="G23" s="3"/>
      <c r="H23" s="3">
        <f>(34288012*5)/1000000</f>
        <v>171.44005999999999</v>
      </c>
      <c r="I23" s="3">
        <f>(31808420*5)/1000000</f>
        <v>159.0421</v>
      </c>
      <c r="J23" s="3">
        <f>161528.59/1000</f>
        <v>161.52859000000001</v>
      </c>
      <c r="K23" s="3">
        <f>150946.69/1000</f>
        <v>150.94668999999999</v>
      </c>
      <c r="L23" s="3">
        <v>123.19199999999999</v>
      </c>
      <c r="M23" s="3">
        <v>111.741</v>
      </c>
      <c r="N23" s="3">
        <v>113.125</v>
      </c>
      <c r="O23" s="3">
        <v>99.515000000000001</v>
      </c>
      <c r="P23" s="3">
        <v>45.314999999999998</v>
      </c>
      <c r="Q23" s="3">
        <v>148.12100000000001</v>
      </c>
      <c r="R23" s="3">
        <v>150.262</v>
      </c>
      <c r="S23" s="3">
        <v>152.547</v>
      </c>
      <c r="T23" s="3">
        <v>153.54900000000001</v>
      </c>
      <c r="U23" s="3">
        <v>203.25399999999999</v>
      </c>
      <c r="V23" s="3">
        <f>196.368</f>
        <v>196.36799999999999</v>
      </c>
      <c r="W23" s="3">
        <f>193.859</f>
        <v>193.85900000000001</v>
      </c>
      <c r="X23" s="3">
        <v>191.452</v>
      </c>
      <c r="Y23" s="3">
        <v>190.65100000000001</v>
      </c>
      <c r="Z23" s="3">
        <v>187.202</v>
      </c>
      <c r="AA23" s="3">
        <v>185.57599999999999</v>
      </c>
      <c r="AB23" s="3">
        <v>179.8</v>
      </c>
      <c r="AC23" s="3">
        <v>173.5</v>
      </c>
      <c r="AD23" s="3">
        <v>154.5</v>
      </c>
      <c r="AE23" s="3">
        <v>151.19999999999999</v>
      </c>
      <c r="AF23" s="1"/>
    </row>
    <row r="25" spans="1:32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</row>
    <row r="26" spans="1:32" x14ac:dyDescent="0.3">
      <c r="A26" s="6" t="s">
        <v>65</v>
      </c>
      <c r="B26" s="17" t="s">
        <v>27</v>
      </c>
      <c r="C26" s="6" t="s">
        <v>85</v>
      </c>
      <c r="D26" s="6">
        <f t="shared" ref="D26:AF26" si="0">D4*D5</f>
        <v>0</v>
      </c>
      <c r="E26" s="6">
        <f t="shared" si="0"/>
        <v>0</v>
      </c>
      <c r="F26" s="6">
        <f t="shared" si="0"/>
        <v>0</v>
      </c>
      <c r="G26" s="6">
        <f t="shared" si="0"/>
        <v>0</v>
      </c>
      <c r="H26" s="6">
        <f t="shared" si="0"/>
        <v>826.5</v>
      </c>
      <c r="I26" s="6">
        <f t="shared" si="0"/>
        <v>748.5</v>
      </c>
      <c r="J26" s="6">
        <f t="shared" si="0"/>
        <v>520.5</v>
      </c>
      <c r="K26" s="6">
        <f t="shared" si="0"/>
        <v>435</v>
      </c>
      <c r="L26" s="7">
        <f t="shared" si="0"/>
        <v>351</v>
      </c>
      <c r="M26" s="7">
        <f t="shared" si="0"/>
        <v>258</v>
      </c>
      <c r="N26" s="7">
        <f t="shared" si="0"/>
        <v>253.5</v>
      </c>
      <c r="O26" s="7">
        <f t="shared" si="0"/>
        <v>261</v>
      </c>
      <c r="P26" s="7">
        <f t="shared" si="0"/>
        <v>245.99999999999997</v>
      </c>
      <c r="Q26" s="7">
        <f t="shared" si="0"/>
        <v>138</v>
      </c>
      <c r="R26" s="7">
        <f t="shared" si="0"/>
        <v>51.000000000000007</v>
      </c>
      <c r="S26" s="7">
        <f t="shared" si="0"/>
        <v>96</v>
      </c>
      <c r="T26" s="7">
        <f t="shared" si="0"/>
        <v>56.25</v>
      </c>
      <c r="U26" s="7">
        <f t="shared" si="0"/>
        <v>63.123261740000011</v>
      </c>
      <c r="V26" s="7">
        <f t="shared" si="0"/>
        <v>54.105652919999997</v>
      </c>
      <c r="W26" s="7">
        <f t="shared" si="0"/>
        <v>99.193697020000002</v>
      </c>
      <c r="X26" s="7">
        <f t="shared" si="0"/>
        <v>67.63206615</v>
      </c>
      <c r="Y26" s="7">
        <f t="shared" si="0"/>
        <v>47.342446305000003</v>
      </c>
      <c r="Z26" s="7">
        <f t="shared" si="0"/>
        <v>50.047728951000003</v>
      </c>
      <c r="AA26" s="7">
        <f t="shared" si="0"/>
        <v>57.712696448000003</v>
      </c>
      <c r="AB26" s="7">
        <f t="shared" si="0"/>
        <v>28.856348224000001</v>
      </c>
      <c r="AC26" s="7">
        <f t="shared" si="0"/>
        <v>18.486098081000002</v>
      </c>
      <c r="AD26" s="7">
        <f t="shared" si="0"/>
        <v>17.7646893754</v>
      </c>
      <c r="AE26" s="7">
        <f t="shared" si="0"/>
        <v>11.576961175999999</v>
      </c>
      <c r="AF26" s="7">
        <f t="shared" si="0"/>
        <v>12.629412192</v>
      </c>
    </row>
    <row r="27" spans="1:32" x14ac:dyDescent="0.3">
      <c r="A27" s="1" t="s">
        <v>66</v>
      </c>
      <c r="B27" s="2" t="s">
        <v>28</v>
      </c>
      <c r="C27" s="1" t="s">
        <v>47</v>
      </c>
      <c r="D27" s="30" t="e">
        <f t="shared" ref="D27:AC27" si="1">D26/D6</f>
        <v>#DIV/0!</v>
      </c>
      <c r="E27" s="30" t="e">
        <f t="shared" si="1"/>
        <v>#DIV/0!</v>
      </c>
      <c r="F27" s="30" t="e">
        <f t="shared" si="1"/>
        <v>#DIV/0!</v>
      </c>
      <c r="G27" s="30" t="e">
        <f t="shared" si="1"/>
        <v>#DIV/0!</v>
      </c>
      <c r="H27" s="30">
        <f t="shared" si="1"/>
        <v>1.7987554962426904</v>
      </c>
      <c r="I27" s="30">
        <f t="shared" si="1"/>
        <v>1.1761521134734587</v>
      </c>
      <c r="J27" s="30">
        <f t="shared" si="1"/>
        <v>0.45034281340861859</v>
      </c>
      <c r="K27" s="30">
        <f t="shared" si="1"/>
        <v>0.37512034572125874</v>
      </c>
      <c r="L27" s="30">
        <f t="shared" si="1"/>
        <v>0.38870629604862111</v>
      </c>
      <c r="M27" s="30">
        <f t="shared" si="1"/>
        <v>0.29220750144213309</v>
      </c>
      <c r="N27" s="30">
        <f t="shared" si="1"/>
        <v>0.232347544265186</v>
      </c>
      <c r="O27" s="30">
        <f t="shared" si="1"/>
        <v>0.23546266157610227</v>
      </c>
      <c r="P27" s="30">
        <f t="shared" si="1"/>
        <v>0.22163180470454044</v>
      </c>
      <c r="Q27" s="30">
        <f t="shared" si="1"/>
        <v>0.12649398099473766</v>
      </c>
      <c r="R27" s="30">
        <f t="shared" si="1"/>
        <v>4.7306190710733775E-2</v>
      </c>
      <c r="S27" s="30">
        <f t="shared" si="1"/>
        <v>9.8884154123314721E-2</v>
      </c>
      <c r="T27" s="30">
        <f t="shared" si="1"/>
        <v>5.5284130948203926E-2</v>
      </c>
      <c r="U27" s="30">
        <f t="shared" si="1"/>
        <v>6.1557065326888004E-2</v>
      </c>
      <c r="V27" s="30">
        <f t="shared" si="1"/>
        <v>5.6126545310447987E-2</v>
      </c>
      <c r="W27" s="30">
        <f t="shared" si="1"/>
        <v>0.10767165550262087</v>
      </c>
      <c r="X27" s="30">
        <f t="shared" si="1"/>
        <v>7.1756866083052082E-2</v>
      </c>
      <c r="Y27" s="30">
        <f t="shared" si="1"/>
        <v>5.20405071708641E-2</v>
      </c>
      <c r="Z27" s="30">
        <f t="shared" si="1"/>
        <v>5.6334679143403878E-2</v>
      </c>
      <c r="AA27" s="30">
        <f t="shared" si="1"/>
        <v>6.3122275454446028E-2</v>
      </c>
      <c r="AB27" s="30">
        <f t="shared" si="1"/>
        <v>3.2503208182022979E-2</v>
      </c>
      <c r="AC27" s="30">
        <f t="shared" si="1"/>
        <v>1.7439715170754717E-2</v>
      </c>
      <c r="AD27" s="30">
        <f t="shared" ref="AD27" si="2">AD26/AD6</f>
        <v>1.7060106958033228E-2</v>
      </c>
      <c r="AE27" s="30"/>
      <c r="AF27" s="1"/>
    </row>
    <row r="28" spans="1:32" x14ac:dyDescent="0.3">
      <c r="A28" s="6" t="s">
        <v>67</v>
      </c>
      <c r="B28" s="17" t="s">
        <v>29</v>
      </c>
      <c r="C28" s="6" t="s">
        <v>48</v>
      </c>
      <c r="D28" s="29" t="e">
        <f t="shared" ref="D28:AC28" si="3">D26/D7</f>
        <v>#DIV/0!</v>
      </c>
      <c r="E28" s="29" t="e">
        <f t="shared" si="3"/>
        <v>#DIV/0!</v>
      </c>
      <c r="F28" s="29" t="e">
        <f t="shared" si="3"/>
        <v>#DIV/0!</v>
      </c>
      <c r="G28" s="29" t="e">
        <f t="shared" si="3"/>
        <v>#DIV/0!</v>
      </c>
      <c r="H28" s="29">
        <f t="shared" si="3"/>
        <v>18.334774345291606</v>
      </c>
      <c r="I28" s="29">
        <f t="shared" si="3"/>
        <v>17.798104579142002</v>
      </c>
      <c r="J28" s="29">
        <f t="shared" si="3"/>
        <v>12.754358167861566</v>
      </c>
      <c r="K28" s="29">
        <f t="shared" si="3"/>
        <v>15.963853432008296</v>
      </c>
      <c r="L28" s="29">
        <f t="shared" si="3"/>
        <v>13.023437363759447</v>
      </c>
      <c r="M28" s="29">
        <f t="shared" si="3"/>
        <v>10.146215618879825</v>
      </c>
      <c r="N28" s="29">
        <f t="shared" si="3"/>
        <v>6.5454827132123219</v>
      </c>
      <c r="O28" s="29">
        <f t="shared" si="3"/>
        <v>8.3373263057019642</v>
      </c>
      <c r="P28" s="29">
        <f t="shared" si="3"/>
        <v>12.287098546526146</v>
      </c>
      <c r="Q28" s="29">
        <f t="shared" si="3"/>
        <v>3.8603558241020481</v>
      </c>
      <c r="R28" s="29">
        <f t="shared" si="3"/>
        <v>1.2654458835789788</v>
      </c>
      <c r="S28" s="29">
        <f t="shared" si="3"/>
        <v>3.2001066702223411</v>
      </c>
      <c r="T28" s="29">
        <f t="shared" si="3"/>
        <v>1.8394976944962229</v>
      </c>
      <c r="U28" s="29">
        <f t="shared" si="3"/>
        <v>2.7061331449884252</v>
      </c>
      <c r="V28" s="29">
        <f t="shared" si="3"/>
        <v>3.0566438574091856</v>
      </c>
      <c r="W28" s="29">
        <f t="shared" si="3"/>
        <v>4.4176403767702856</v>
      </c>
      <c r="X28" s="29">
        <f t="shared" si="3"/>
        <v>2.8381060071338653</v>
      </c>
      <c r="Y28" s="29">
        <f t="shared" si="3"/>
        <v>2.1421921404977375</v>
      </c>
      <c r="Z28" s="29">
        <f t="shared" si="3"/>
        <v>1.8605103699256509</v>
      </c>
      <c r="AA28" s="29">
        <f t="shared" si="3"/>
        <v>3.0360721999053082</v>
      </c>
      <c r="AB28" s="29">
        <f t="shared" si="3"/>
        <v>1.7595334282926831</v>
      </c>
      <c r="AC28" s="29">
        <f t="shared" si="3"/>
        <v>0.69236322400749073</v>
      </c>
      <c r="AD28" s="29">
        <f t="shared" ref="AD28" si="4">AD26/AD7</f>
        <v>1.1243474288227848</v>
      </c>
      <c r="AE28" s="29"/>
      <c r="AF28" s="1"/>
    </row>
    <row r="29" spans="1:32" x14ac:dyDescent="0.3">
      <c r="A29" s="15" t="s">
        <v>68</v>
      </c>
      <c r="B29" s="2" t="s">
        <v>30</v>
      </c>
      <c r="C29" s="1" t="s">
        <v>49</v>
      </c>
      <c r="D29" s="3">
        <f t="shared" ref="D29:AC29" si="5">D15-D14</f>
        <v>0</v>
      </c>
      <c r="E29" s="3">
        <f t="shared" si="5"/>
        <v>0</v>
      </c>
      <c r="F29" s="3">
        <f t="shared" si="5"/>
        <v>0</v>
      </c>
      <c r="G29" s="3">
        <f t="shared" si="5"/>
        <v>0</v>
      </c>
      <c r="H29" s="3">
        <f t="shared" si="5"/>
        <v>416.83420799999999</v>
      </c>
      <c r="I29" s="3">
        <f t="shared" si="5"/>
        <v>484.84285799999998</v>
      </c>
      <c r="J29" s="3">
        <f t="shared" si="5"/>
        <v>474.30301900000001</v>
      </c>
      <c r="K29" s="3">
        <f t="shared" si="5"/>
        <v>479.28059999999999</v>
      </c>
      <c r="L29" s="3">
        <f t="shared" si="5"/>
        <v>591.46399999999994</v>
      </c>
      <c r="M29" s="3">
        <f t="shared" si="5"/>
        <v>579.83538999999996</v>
      </c>
      <c r="N29" s="3">
        <f t="shared" si="5"/>
        <v>463.35300000000001</v>
      </c>
      <c r="O29" s="3">
        <f t="shared" si="5"/>
        <v>252.642</v>
      </c>
      <c r="P29" s="3">
        <f t="shared" si="5"/>
        <v>195.99176699999998</v>
      </c>
      <c r="Q29" s="3">
        <f t="shared" si="5"/>
        <v>379.11699999999996</v>
      </c>
      <c r="R29" s="3">
        <f t="shared" si="5"/>
        <v>554.06600000000003</v>
      </c>
      <c r="S29" s="3">
        <f t="shared" si="5"/>
        <v>407.78799999999995</v>
      </c>
      <c r="T29" s="3">
        <f t="shared" si="5"/>
        <v>439.56400000000002</v>
      </c>
      <c r="U29" s="3">
        <f t="shared" si="5"/>
        <v>404.10899999999998</v>
      </c>
      <c r="V29" s="3">
        <f t="shared" si="5"/>
        <v>357.96200000000005</v>
      </c>
      <c r="W29" s="3">
        <f t="shared" si="5"/>
        <v>341.03700000000003</v>
      </c>
      <c r="X29" s="3">
        <f t="shared" si="5"/>
        <v>316.7</v>
      </c>
      <c r="Y29" s="3">
        <f t="shared" si="5"/>
        <v>310.90599999999995</v>
      </c>
      <c r="Z29" s="3">
        <f t="shared" si="5"/>
        <v>290.66299999999995</v>
      </c>
      <c r="AA29" s="3">
        <f t="shared" si="5"/>
        <v>296.42899999999997</v>
      </c>
      <c r="AB29" s="3">
        <f t="shared" si="5"/>
        <v>272.20000000000005</v>
      </c>
      <c r="AC29" s="3">
        <f t="shared" si="5"/>
        <v>337.3</v>
      </c>
      <c r="AD29" s="3">
        <f t="shared" ref="AD29" si="6">AD15-AD14</f>
        <v>315</v>
      </c>
      <c r="AE29" s="3"/>
      <c r="AF29" s="1"/>
    </row>
    <row r="30" spans="1:32" x14ac:dyDescent="0.3">
      <c r="A30" s="6" t="s">
        <v>69</v>
      </c>
      <c r="B30" s="17" t="s">
        <v>31</v>
      </c>
      <c r="C30" s="6" t="s">
        <v>50</v>
      </c>
      <c r="D30" s="7">
        <f t="shared" ref="D30:AC30" si="7">D26+D29+D16+D17</f>
        <v>0</v>
      </c>
      <c r="E30" s="7">
        <f t="shared" si="7"/>
        <v>0</v>
      </c>
      <c r="F30" s="7">
        <f t="shared" si="7"/>
        <v>0</v>
      </c>
      <c r="G30" s="7">
        <f t="shared" si="7"/>
        <v>0</v>
      </c>
      <c r="H30" s="7">
        <f t="shared" si="7"/>
        <v>1283.5190279999999</v>
      </c>
      <c r="I30" s="7">
        <f t="shared" si="7"/>
        <v>1273.213753</v>
      </c>
      <c r="J30" s="7">
        <f t="shared" si="7"/>
        <v>997.01684899999998</v>
      </c>
      <c r="K30" s="7">
        <f t="shared" si="7"/>
        <v>916.48147000000006</v>
      </c>
      <c r="L30" s="7">
        <f t="shared" si="7"/>
        <v>944.22799999999995</v>
      </c>
      <c r="M30" s="7">
        <f t="shared" si="7"/>
        <v>839.61138999999991</v>
      </c>
      <c r="N30" s="7">
        <f t="shared" si="7"/>
        <v>724.35</v>
      </c>
      <c r="O30" s="7">
        <f t="shared" si="7"/>
        <v>520.87700000000007</v>
      </c>
      <c r="P30" s="7">
        <f t="shared" si="7"/>
        <v>449.632767</v>
      </c>
      <c r="Q30" s="7">
        <f t="shared" si="7"/>
        <v>518.43499999999995</v>
      </c>
      <c r="R30" s="7">
        <f t="shared" si="7"/>
        <v>606.09900000000005</v>
      </c>
      <c r="S30" s="7">
        <f t="shared" si="7"/>
        <v>504.82099999999997</v>
      </c>
      <c r="T30" s="7">
        <f t="shared" si="7"/>
        <v>496.846</v>
      </c>
      <c r="U30" s="7">
        <f t="shared" si="7"/>
        <v>471.22326174</v>
      </c>
      <c r="V30" s="7">
        <f t="shared" si="7"/>
        <v>416.13565292000004</v>
      </c>
      <c r="W30" s="7">
        <f t="shared" si="7"/>
        <v>441.44169702000005</v>
      </c>
      <c r="X30" s="7">
        <f t="shared" si="7"/>
        <v>384.43206615000003</v>
      </c>
      <c r="Y30" s="7">
        <f t="shared" si="7"/>
        <v>358.24844630499996</v>
      </c>
      <c r="Z30" s="7">
        <f t="shared" si="7"/>
        <v>340.61072895099994</v>
      </c>
      <c r="AA30" s="7">
        <f t="shared" si="7"/>
        <v>354.14169644799995</v>
      </c>
      <c r="AB30" s="7">
        <f t="shared" si="7"/>
        <v>301.05634822400003</v>
      </c>
      <c r="AC30" s="7">
        <f t="shared" si="7"/>
        <v>355.78609808100003</v>
      </c>
      <c r="AD30" s="7">
        <f t="shared" ref="AD30" si="8">AD26+AD29+AD16+AD17</f>
        <v>332.7646893754</v>
      </c>
      <c r="AE30" s="7"/>
      <c r="AF30" s="1"/>
    </row>
    <row r="31" spans="1:32" x14ac:dyDescent="0.3">
      <c r="A31" s="1" t="s">
        <v>70</v>
      </c>
      <c r="B31" s="2" t="s">
        <v>32</v>
      </c>
      <c r="C31" s="1" t="s">
        <v>51</v>
      </c>
      <c r="D31" s="30" t="e">
        <f t="shared" ref="D31:AC31" si="9">D30/D7</f>
        <v>#DIV/0!</v>
      </c>
      <c r="E31" s="30" t="e">
        <f t="shared" si="9"/>
        <v>#DIV/0!</v>
      </c>
      <c r="F31" s="30" t="e">
        <f t="shared" si="9"/>
        <v>#DIV/0!</v>
      </c>
      <c r="G31" s="30" t="e">
        <f t="shared" si="9"/>
        <v>#DIV/0!</v>
      </c>
      <c r="H31" s="30">
        <f t="shared" si="9"/>
        <v>28.473117660336378</v>
      </c>
      <c r="I31" s="30">
        <f t="shared" si="9"/>
        <v>30.274938580488808</v>
      </c>
      <c r="J31" s="30">
        <f t="shared" si="9"/>
        <v>24.430950992389533</v>
      </c>
      <c r="K31" s="30">
        <f t="shared" si="9"/>
        <v>33.633507724670139</v>
      </c>
      <c r="L31" s="30">
        <f t="shared" si="9"/>
        <v>35.034456453298731</v>
      </c>
      <c r="M31" s="30">
        <f t="shared" si="9"/>
        <v>33.018907748090697</v>
      </c>
      <c r="N31" s="30">
        <f t="shared" si="9"/>
        <v>18.703039066332725</v>
      </c>
      <c r="O31" s="30">
        <f t="shared" si="9"/>
        <v>16.638779747644147</v>
      </c>
      <c r="P31" s="30">
        <f t="shared" si="9"/>
        <v>22.45805738974077</v>
      </c>
      <c r="Q31" s="30">
        <f t="shared" si="9"/>
        <v>14.502489649770617</v>
      </c>
      <c r="R31" s="30">
        <f t="shared" si="9"/>
        <v>15.038931070418343</v>
      </c>
      <c r="S31" s="30">
        <f t="shared" si="9"/>
        <v>16.827927597586587</v>
      </c>
      <c r="T31" s="30">
        <f t="shared" si="9"/>
        <v>16.247947938127474</v>
      </c>
      <c r="U31" s="30">
        <f t="shared" si="9"/>
        <v>20.201631730258082</v>
      </c>
      <c r="V31" s="30">
        <f t="shared" si="9"/>
        <v>23.509160664369247</v>
      </c>
      <c r="W31" s="30">
        <f t="shared" si="9"/>
        <v>19.659824397434758</v>
      </c>
      <c r="X31" s="30">
        <f t="shared" si="9"/>
        <v>16.132273023499792</v>
      </c>
      <c r="Y31" s="30">
        <f t="shared" si="9"/>
        <v>16.210336936877827</v>
      </c>
      <c r="Z31" s="30">
        <f t="shared" si="9"/>
        <v>12.662108882936801</v>
      </c>
      <c r="AA31" s="30">
        <f t="shared" si="9"/>
        <v>18.630211817980953</v>
      </c>
      <c r="AB31" s="30">
        <f t="shared" si="9"/>
        <v>18.357094403902444</v>
      </c>
      <c r="AC31" s="30">
        <f t="shared" si="9"/>
        <v>13.325322025505619</v>
      </c>
      <c r="AD31" s="30">
        <f t="shared" ref="AD31" si="10">AD30/AD7</f>
        <v>21.061056289582279</v>
      </c>
      <c r="AE31" s="30"/>
      <c r="AF31" s="1"/>
    </row>
    <row r="32" spans="1:32" x14ac:dyDescent="0.3">
      <c r="A32" s="18" t="s">
        <v>72</v>
      </c>
      <c r="B32" s="17" t="s">
        <v>33</v>
      </c>
      <c r="C32" s="6" t="s">
        <v>109</v>
      </c>
      <c r="D32" s="27" t="e">
        <f t="shared" ref="D32:AC32" si="11">D7/D6</f>
        <v>#DIV/0!</v>
      </c>
      <c r="E32" s="27" t="e">
        <f t="shared" si="11"/>
        <v>#DIV/0!</v>
      </c>
      <c r="F32" s="27" t="e">
        <f t="shared" si="11"/>
        <v>#DIV/0!</v>
      </c>
      <c r="G32" s="27" t="e">
        <f t="shared" si="11"/>
        <v>#DIV/0!</v>
      </c>
      <c r="H32" s="27">
        <f t="shared" si="11"/>
        <v>9.8106224945419804E-2</v>
      </c>
      <c r="I32" s="27">
        <f t="shared" si="11"/>
        <v>6.6082998234082632E-2</v>
      </c>
      <c r="J32" s="27">
        <f t="shared" si="11"/>
        <v>3.5308935775646672E-2</v>
      </c>
      <c r="K32" s="27">
        <f t="shared" si="11"/>
        <v>2.3498107604090396E-2</v>
      </c>
      <c r="L32" s="27">
        <f t="shared" si="11"/>
        <v>2.9846674513925264E-2</v>
      </c>
      <c r="M32" s="27">
        <f t="shared" si="11"/>
        <v>2.8799654217716471E-2</v>
      </c>
      <c r="N32" s="27">
        <f t="shared" si="11"/>
        <v>3.5497388725232303E-2</v>
      </c>
      <c r="O32" s="27">
        <f t="shared" si="11"/>
        <v>2.8241987052260081E-2</v>
      </c>
      <c r="P32" s="27">
        <f t="shared" si="11"/>
        <v>1.8037765699144736E-2</v>
      </c>
      <c r="Q32" s="27">
        <f t="shared" si="11"/>
        <v>3.2767440815941171E-2</v>
      </c>
      <c r="R32" s="27">
        <f t="shared" si="11"/>
        <v>3.7383021529882203E-2</v>
      </c>
      <c r="S32" s="27">
        <f t="shared" si="11"/>
        <v>3.0900268120263731E-2</v>
      </c>
      <c r="T32" s="27">
        <f t="shared" si="11"/>
        <v>3.0053927826935608E-2</v>
      </c>
      <c r="U32" s="27">
        <f t="shared" si="11"/>
        <v>2.2747241923734427E-2</v>
      </c>
      <c r="V32" s="27">
        <f t="shared" si="11"/>
        <v>1.8362147482245739E-2</v>
      </c>
      <c r="W32" s="27">
        <f t="shared" si="11"/>
        <v>2.4373114676514041E-2</v>
      </c>
      <c r="X32" s="27">
        <f t="shared" si="11"/>
        <v>2.5283363589197857E-2</v>
      </c>
      <c r="Y32" s="27">
        <f t="shared" si="11"/>
        <v>2.4293109001311392E-2</v>
      </c>
      <c r="Z32" s="27">
        <f t="shared" si="11"/>
        <v>3.0279153534443944E-2</v>
      </c>
      <c r="AA32" s="27">
        <f t="shared" si="11"/>
        <v>2.079076889423603E-2</v>
      </c>
      <c r="AB32" s="27">
        <f t="shared" si="11"/>
        <v>1.8472628970488847E-2</v>
      </c>
      <c r="AC32" s="27">
        <f t="shared" si="11"/>
        <v>2.5188679245283018E-2</v>
      </c>
      <c r="AD32" s="27">
        <f t="shared" ref="AD32" si="12">AD7/AD6</f>
        <v>1.5173341016037647E-2</v>
      </c>
      <c r="AE32" s="27"/>
      <c r="AF32" s="1"/>
    </row>
    <row r="33" spans="1:32" x14ac:dyDescent="0.3">
      <c r="A33" s="16" t="s">
        <v>73</v>
      </c>
      <c r="B33" s="2" t="s">
        <v>34</v>
      </c>
      <c r="C33" s="1" t="s">
        <v>110</v>
      </c>
      <c r="D33" s="28" t="e">
        <f t="shared" ref="D33:AC33" si="13">D8/D6</f>
        <v>#DIV/0!</v>
      </c>
      <c r="E33" s="28" t="e">
        <f t="shared" si="13"/>
        <v>#DIV/0!</v>
      </c>
      <c r="F33" s="28" t="e">
        <f t="shared" si="13"/>
        <v>#DIV/0!</v>
      </c>
      <c r="G33" s="28" t="e">
        <f t="shared" si="13"/>
        <v>#DIV/0!</v>
      </c>
      <c r="H33" s="28">
        <f t="shared" si="13"/>
        <v>4.8962211661833531E-2</v>
      </c>
      <c r="I33" s="28">
        <f t="shared" si="13"/>
        <v>2.1408199775839704E-2</v>
      </c>
      <c r="J33" s="28">
        <f t="shared" si="13"/>
        <v>2.053901527010818E-2</v>
      </c>
      <c r="K33" s="28">
        <f t="shared" si="13"/>
        <v>8.8585575104978709E-3</v>
      </c>
      <c r="L33" s="28">
        <f t="shared" si="13"/>
        <v>1.2499963911915003E-2</v>
      </c>
      <c r="M33" s="28">
        <f t="shared" si="13"/>
        <v>1.1058808083648357E-2</v>
      </c>
      <c r="N33" s="28">
        <f t="shared" si="13"/>
        <v>2.6480287579351038E-2</v>
      </c>
      <c r="O33" s="28">
        <f t="shared" si="13"/>
        <v>2.160933767330413E-2</v>
      </c>
      <c r="P33" s="28">
        <f t="shared" si="13"/>
        <v>1.1893339243514793E-2</v>
      </c>
      <c r="Q33" s="28">
        <f t="shared" si="13"/>
        <v>2.6904719783750287E-2</v>
      </c>
      <c r="R33" s="28">
        <f t="shared" si="13"/>
        <v>3.1162721237604149E-2</v>
      </c>
      <c r="S33" s="28">
        <f t="shared" si="13"/>
        <v>2.4420265895370264E-2</v>
      </c>
      <c r="T33" s="28">
        <f t="shared" si="13"/>
        <v>2.3701904034611306E-2</v>
      </c>
      <c r="U33" s="28">
        <f t="shared" si="13"/>
        <v>1.6918541547409266E-2</v>
      </c>
      <c r="V33" s="28">
        <f t="shared" si="13"/>
        <v>1.2628709307319338E-2</v>
      </c>
      <c r="W33" s="28">
        <f t="shared" si="13"/>
        <v>1.8231532649270944E-2</v>
      </c>
      <c r="X33" s="28">
        <f t="shared" si="13"/>
        <v>1.9309996530566555E-2</v>
      </c>
      <c r="Y33" s="28">
        <f t="shared" si="13"/>
        <v>1.8687006924085686E-2</v>
      </c>
      <c r="Z33" s="28">
        <f t="shared" si="13"/>
        <v>2.3975686627645206E-2</v>
      </c>
      <c r="AA33" s="28">
        <f t="shared" si="13"/>
        <v>1.4765394290714209E-2</v>
      </c>
      <c r="AB33" s="28">
        <f t="shared" si="13"/>
        <v>1.193962604190133E-2</v>
      </c>
      <c r="AC33" s="28">
        <f t="shared" si="13"/>
        <v>1.0188679245283019E-2</v>
      </c>
      <c r="AD33" s="28">
        <f t="shared" ref="AD33" si="14">AD8/AD6</f>
        <v>-2.5929127052722561E-3</v>
      </c>
      <c r="AE33" s="28"/>
      <c r="AF33" s="1"/>
    </row>
    <row r="34" spans="1:32" x14ac:dyDescent="0.3">
      <c r="A34" s="18" t="s">
        <v>74</v>
      </c>
      <c r="B34" s="17" t="s">
        <v>35</v>
      </c>
      <c r="C34" s="6" t="s">
        <v>54</v>
      </c>
      <c r="D34" s="27" t="e">
        <f t="shared" ref="D34:AC34" si="15">D11/D10</f>
        <v>#DIV/0!</v>
      </c>
      <c r="E34" s="27" t="e">
        <f t="shared" si="15"/>
        <v>#DIV/0!</v>
      </c>
      <c r="F34" s="27" t="e">
        <f t="shared" si="15"/>
        <v>#DIV/0!</v>
      </c>
      <c r="G34" s="27" t="e">
        <f t="shared" si="15"/>
        <v>#DIV/0!</v>
      </c>
      <c r="H34" s="27">
        <f t="shared" si="15"/>
        <v>0.12324831057308859</v>
      </c>
      <c r="I34" s="27">
        <f t="shared" si="15"/>
        <v>0.3793769873668954</v>
      </c>
      <c r="J34" s="27">
        <f t="shared" si="15"/>
        <v>0.91111922270846224</v>
      </c>
      <c r="K34" s="27">
        <f t="shared" si="15"/>
        <v>-3.8450790050179873E-2</v>
      </c>
      <c r="L34" s="27">
        <f t="shared" si="15"/>
        <v>0.68447837150127233</v>
      </c>
      <c r="M34" s="27">
        <f t="shared" si="15"/>
        <v>0.70665673124689532</v>
      </c>
      <c r="N34" s="27">
        <f t="shared" si="15"/>
        <v>0.37611906893464642</v>
      </c>
      <c r="O34" s="27">
        <f t="shared" si="15"/>
        <v>0.30878186968838528</v>
      </c>
      <c r="P34" s="27">
        <f t="shared" si="15"/>
        <v>4.4466125068012528E-3</v>
      </c>
      <c r="Q34" s="27">
        <f t="shared" si="15"/>
        <v>5.2580955434434112E-2</v>
      </c>
      <c r="R34" s="27">
        <f t="shared" si="15"/>
        <v>0.27235213204951858</v>
      </c>
      <c r="S34" s="27">
        <f t="shared" si="15"/>
        <v>0.53893067696686314</v>
      </c>
      <c r="T34" s="27">
        <f t="shared" si="15"/>
        <v>0.62533858655503571</v>
      </c>
      <c r="U34" s="27">
        <f t="shared" si="15"/>
        <v>-0.94596354166666674</v>
      </c>
      <c r="V34" s="27">
        <f t="shared" si="15"/>
        <v>-0.26230584117260997</v>
      </c>
      <c r="W34" s="27">
        <f t="shared" si="15"/>
        <v>0.29384133611691021</v>
      </c>
      <c r="X34" s="27">
        <f t="shared" si="15"/>
        <v>0.2</v>
      </c>
      <c r="Y34" s="27">
        <f t="shared" si="15"/>
        <v>1.2941176470588236</v>
      </c>
      <c r="Z34" s="27">
        <f t="shared" si="15"/>
        <v>0.39436619718309857</v>
      </c>
      <c r="AA34" s="27">
        <f t="shared" si="15"/>
        <v>0</v>
      </c>
      <c r="AB34" s="27">
        <f t="shared" si="15"/>
        <v>2.7027027027027029E-2</v>
      </c>
      <c r="AC34" s="27">
        <f t="shared" si="15"/>
        <v>0.16326530612244897</v>
      </c>
      <c r="AD34" s="27">
        <f t="shared" ref="AD34" si="16">AD11/AD10</f>
        <v>0.15384615384615385</v>
      </c>
      <c r="AE34" s="27"/>
      <c r="AF34" s="1"/>
    </row>
    <row r="35" spans="1:32" x14ac:dyDescent="0.3">
      <c r="A35" s="16" t="s">
        <v>75</v>
      </c>
      <c r="B35" s="2" t="s">
        <v>36</v>
      </c>
      <c r="C35" s="1" t="s">
        <v>108</v>
      </c>
      <c r="D35" s="28" t="e">
        <f t="shared" ref="D35:AC35" si="17">D12/D6</f>
        <v>#DIV/0!</v>
      </c>
      <c r="E35" s="28" t="e">
        <f t="shared" si="17"/>
        <v>#DIV/0!</v>
      </c>
      <c r="F35" s="28" t="e">
        <f t="shared" si="17"/>
        <v>#DIV/0!</v>
      </c>
      <c r="G35" s="28" t="e">
        <f t="shared" si="17"/>
        <v>#DIV/0!</v>
      </c>
      <c r="H35" s="28">
        <f t="shared" si="17"/>
        <v>3.6932879215581554E-2</v>
      </c>
      <c r="I35" s="28">
        <f t="shared" si="17"/>
        <v>1.0668375347773134E-2</v>
      </c>
      <c r="J35" s="28">
        <f t="shared" si="17"/>
        <v>5.9699623679528697E-6</v>
      </c>
      <c r="K35" s="28">
        <f t="shared" si="17"/>
        <v>-6.7266494160173884E-3</v>
      </c>
      <c r="L35" s="28">
        <f t="shared" si="17"/>
        <v>1.249089642393376E-3</v>
      </c>
      <c r="M35" s="28">
        <f t="shared" si="17"/>
        <v>1.2440201944649096E-3</v>
      </c>
      <c r="N35" s="28">
        <f t="shared" si="17"/>
        <v>5.1098128571140508E-3</v>
      </c>
      <c r="O35" s="28">
        <f t="shared" si="17"/>
        <v>1.5417842476381563E-3</v>
      </c>
      <c r="P35" s="28">
        <f t="shared" si="17"/>
        <v>-4.7805800086310267E-2</v>
      </c>
      <c r="Q35" s="28">
        <f t="shared" si="17"/>
        <v>-9.4008860078407929E-3</v>
      </c>
      <c r="R35" s="28">
        <f t="shared" si="17"/>
        <v>1.0333156167011261E-3</v>
      </c>
      <c r="S35" s="28">
        <f t="shared" si="17"/>
        <v>2.3351080978911923E-3</v>
      </c>
      <c r="T35" s="28">
        <f t="shared" si="17"/>
        <v>2.9917314596681378E-3</v>
      </c>
      <c r="U35" s="28">
        <f t="shared" si="17"/>
        <v>5.8296755646096371E-3</v>
      </c>
      <c r="V35" s="28">
        <f t="shared" si="17"/>
        <v>-5.9855144326624431E-3</v>
      </c>
      <c r="W35" s="28">
        <f t="shared" si="17"/>
        <v>1.4686391804276963E-3</v>
      </c>
      <c r="X35" s="28">
        <f t="shared" si="17"/>
        <v>2.2280765227576799E-3</v>
      </c>
      <c r="Y35" s="28">
        <f t="shared" si="17"/>
        <v>-4.39694280566722E-4</v>
      </c>
      <c r="Z35" s="28">
        <f t="shared" si="17"/>
        <v>4.9527239981990096E-3</v>
      </c>
      <c r="AA35" s="28">
        <f t="shared" si="17"/>
        <v>2.1874658208465494E-4</v>
      </c>
      <c r="AB35" s="28">
        <f t="shared" si="17"/>
        <v>-4.0549673349853576E-3</v>
      </c>
      <c r="AC35" s="28">
        <f t="shared" si="17"/>
        <v>-3.8679245283018866E-3</v>
      </c>
      <c r="AD35" s="28">
        <f t="shared" ref="AD35" si="18">AD12/AD6</f>
        <v>-1.4885239604340728E-2</v>
      </c>
      <c r="AE35" s="28"/>
      <c r="AF35" s="1"/>
    </row>
    <row r="36" spans="1:32" x14ac:dyDescent="0.3">
      <c r="A36" s="18" t="s">
        <v>76</v>
      </c>
      <c r="B36" s="17" t="s">
        <v>37</v>
      </c>
      <c r="C36" s="6" t="s">
        <v>56</v>
      </c>
      <c r="D36" s="29" t="e">
        <f t="shared" ref="D36:G36" si="19">D26/D12</f>
        <v>#DIV/0!</v>
      </c>
      <c r="E36" s="29" t="e">
        <f t="shared" si="19"/>
        <v>#DIV/0!</v>
      </c>
      <c r="F36" s="29" t="e">
        <f t="shared" si="19"/>
        <v>#DIV/0!</v>
      </c>
      <c r="G36" s="29" t="e">
        <f t="shared" si="19"/>
        <v>#DIV/0!</v>
      </c>
      <c r="H36" s="29">
        <f>IF(H26/H12&lt;0,0,H26/H12)</f>
        <v>48.703364981190425</v>
      </c>
      <c r="I36" s="29">
        <f t="shared" ref="I36:AC36" si="20">IF(I26/I12&lt;0,0,I26/I12)</f>
        <v>110.24660036159707</v>
      </c>
      <c r="J36" s="29">
        <f t="shared" si="20"/>
        <v>75434.782608695648</v>
      </c>
      <c r="K36" s="29">
        <f t="shared" si="20"/>
        <v>0</v>
      </c>
      <c r="L36" s="29">
        <f t="shared" si="20"/>
        <v>311.19167340449837</v>
      </c>
      <c r="M36" s="29">
        <f t="shared" si="20"/>
        <v>234.88967682539939</v>
      </c>
      <c r="N36" s="29">
        <f t="shared" si="20"/>
        <v>45.470852017937219</v>
      </c>
      <c r="O36" s="29">
        <f t="shared" si="20"/>
        <v>152.72088940901111</v>
      </c>
      <c r="P36" s="29">
        <f t="shared" si="20"/>
        <v>0</v>
      </c>
      <c r="Q36" s="29">
        <f t="shared" si="20"/>
        <v>0</v>
      </c>
      <c r="R36" s="29">
        <f t="shared" si="20"/>
        <v>45.780969479353679</v>
      </c>
      <c r="S36" s="29">
        <f t="shared" si="20"/>
        <v>42.346713718570797</v>
      </c>
      <c r="T36" s="29">
        <f t="shared" si="20"/>
        <v>18.478975032851512</v>
      </c>
      <c r="U36" s="29">
        <f t="shared" si="20"/>
        <v>10.559260913348949</v>
      </c>
      <c r="V36" s="29">
        <f t="shared" si="20"/>
        <v>0</v>
      </c>
      <c r="W36" s="29">
        <f t="shared" si="20"/>
        <v>73.313892845528457</v>
      </c>
      <c r="X36" s="29">
        <f t="shared" si="20"/>
        <v>32.205745785714285</v>
      </c>
      <c r="Y36" s="29">
        <f t="shared" si="20"/>
        <v>0</v>
      </c>
      <c r="Z36" s="29">
        <f t="shared" si="20"/>
        <v>11.374483852499999</v>
      </c>
      <c r="AA36" s="29">
        <f t="shared" si="20"/>
        <v>288.56348223999998</v>
      </c>
      <c r="AB36" s="29">
        <f t="shared" si="20"/>
        <v>0</v>
      </c>
      <c r="AC36" s="29">
        <f t="shared" si="20"/>
        <v>0</v>
      </c>
      <c r="AD36" s="29">
        <f t="shared" ref="AD36" si="21">IF(AD26/AD12&lt;0,0,AD26/AD12)</f>
        <v>0</v>
      </c>
      <c r="AE36" s="29"/>
      <c r="AF36" s="1"/>
    </row>
    <row r="37" spans="1:32" x14ac:dyDescent="0.3">
      <c r="A37" s="16" t="s">
        <v>77</v>
      </c>
      <c r="B37" s="2" t="s">
        <v>38</v>
      </c>
      <c r="C37" s="1" t="s">
        <v>57</v>
      </c>
      <c r="D37" s="30" t="e">
        <f t="shared" ref="D37:AC37" si="22">D26/D23</f>
        <v>#DIV/0!</v>
      </c>
      <c r="E37" s="30" t="e">
        <f t="shared" si="22"/>
        <v>#DIV/0!</v>
      </c>
      <c r="F37" s="30" t="e">
        <f t="shared" si="22"/>
        <v>#DIV/0!</v>
      </c>
      <c r="G37" s="30" t="e">
        <f t="shared" si="22"/>
        <v>#DIV/0!</v>
      </c>
      <c r="H37" s="30">
        <f t="shared" si="22"/>
        <v>4.8209269175477427</v>
      </c>
      <c r="I37" s="30">
        <f t="shared" si="22"/>
        <v>4.7063010360149917</v>
      </c>
      <c r="J37" s="30">
        <f t="shared" si="22"/>
        <v>3.222339772791925</v>
      </c>
      <c r="K37" s="30">
        <f t="shared" si="22"/>
        <v>2.8818121152573801</v>
      </c>
      <c r="L37" s="30">
        <f t="shared" si="22"/>
        <v>2.849210987726476</v>
      </c>
      <c r="M37" s="30">
        <f t="shared" si="22"/>
        <v>2.3089107847611889</v>
      </c>
      <c r="N37" s="30">
        <f t="shared" si="22"/>
        <v>2.2408839779005523</v>
      </c>
      <c r="O37" s="30">
        <f t="shared" si="22"/>
        <v>2.6227201929357382</v>
      </c>
      <c r="P37" s="30">
        <f t="shared" si="22"/>
        <v>5.428666004634227</v>
      </c>
      <c r="Q37" s="30">
        <f t="shared" si="22"/>
        <v>0.93167072866102707</v>
      </c>
      <c r="R37" s="30">
        <f t="shared" si="22"/>
        <v>0.33940716881180877</v>
      </c>
      <c r="S37" s="30">
        <f t="shared" si="22"/>
        <v>0.62931424413459458</v>
      </c>
      <c r="T37" s="30">
        <f t="shared" si="22"/>
        <v>0.36633257136158487</v>
      </c>
      <c r="U37" s="30">
        <f t="shared" si="22"/>
        <v>0.3105634415066863</v>
      </c>
      <c r="V37" s="30">
        <f t="shared" si="22"/>
        <v>0.27553192434612561</v>
      </c>
      <c r="W37" s="30">
        <f t="shared" si="22"/>
        <v>0.51167960744664931</v>
      </c>
      <c r="X37" s="30">
        <f t="shared" si="22"/>
        <v>0.35325860346196436</v>
      </c>
      <c r="Y37" s="30">
        <f t="shared" si="22"/>
        <v>0.2483199474694599</v>
      </c>
      <c r="Z37" s="30">
        <f t="shared" si="22"/>
        <v>0.26734612317710282</v>
      </c>
      <c r="AA37" s="30">
        <f t="shared" si="22"/>
        <v>0.31099224279001597</v>
      </c>
      <c r="AB37" s="30">
        <f t="shared" si="22"/>
        <v>0.16049136943270301</v>
      </c>
      <c r="AC37" s="30">
        <f t="shared" si="22"/>
        <v>0.10654811574063401</v>
      </c>
      <c r="AD37" s="30">
        <f t="shared" ref="AD37" si="23">AD26/AD23</f>
        <v>0.11498180825501618</v>
      </c>
      <c r="AE37" s="30"/>
      <c r="AF37" s="1"/>
    </row>
    <row r="38" spans="1:32" x14ac:dyDescent="0.3">
      <c r="A38" s="18" t="s">
        <v>78</v>
      </c>
      <c r="B38" s="17" t="s">
        <v>39</v>
      </c>
      <c r="C38" s="6" t="s">
        <v>106</v>
      </c>
      <c r="D38" s="55" t="e">
        <f t="shared" ref="D38:AC38" si="24">D8/D23</f>
        <v>#DIV/0!</v>
      </c>
      <c r="E38" s="55" t="e">
        <f t="shared" si="24"/>
        <v>#DIV/0!</v>
      </c>
      <c r="F38" s="55" t="e">
        <f t="shared" si="24"/>
        <v>#DIV/0!</v>
      </c>
      <c r="G38" s="55" t="e">
        <f t="shared" si="24"/>
        <v>#DIV/0!</v>
      </c>
      <c r="H38" s="55">
        <f t="shared" si="24"/>
        <v>0.13122586401334671</v>
      </c>
      <c r="I38" s="55">
        <f t="shared" si="24"/>
        <v>8.5663607309008113E-2</v>
      </c>
      <c r="J38" s="55">
        <f t="shared" si="24"/>
        <v>0.14696289988044839</v>
      </c>
      <c r="K38" s="55">
        <f t="shared" si="24"/>
        <v>6.8054688711623956E-2</v>
      </c>
      <c r="L38" s="55">
        <f t="shared" si="24"/>
        <v>9.1624537307617382E-2</v>
      </c>
      <c r="M38" s="55">
        <f t="shared" si="24"/>
        <v>8.7382429009942642E-2</v>
      </c>
      <c r="N38" s="55">
        <f t="shared" si="24"/>
        <v>0.25539005524861874</v>
      </c>
      <c r="O38" s="55">
        <f t="shared" si="24"/>
        <v>0.24069738230417526</v>
      </c>
      <c r="P38" s="55">
        <f t="shared" si="24"/>
        <v>0.29131634116738392</v>
      </c>
      <c r="Q38" s="55">
        <f t="shared" si="24"/>
        <v>0.19816231324390191</v>
      </c>
      <c r="R38" s="55">
        <f t="shared" si="24"/>
        <v>0.22358280869414754</v>
      </c>
      <c r="S38" s="55">
        <f t="shared" si="24"/>
        <v>0.15541439687440592</v>
      </c>
      <c r="T38" s="55">
        <f t="shared" si="24"/>
        <v>0.15705735628366188</v>
      </c>
      <c r="U38" s="55">
        <f t="shared" si="24"/>
        <v>8.535625375146369E-2</v>
      </c>
      <c r="V38" s="55">
        <f t="shared" si="24"/>
        <v>6.1995844536788074E-2</v>
      </c>
      <c r="W38" s="55">
        <f t="shared" si="24"/>
        <v>8.6640290107758727E-2</v>
      </c>
      <c r="X38" s="55">
        <f t="shared" si="24"/>
        <v>9.5062992290495793E-2</v>
      </c>
      <c r="Y38" s="55">
        <f t="shared" si="24"/>
        <v>8.9168165915730832E-2</v>
      </c>
      <c r="Z38" s="55">
        <f t="shared" si="24"/>
        <v>0.11378083567483253</v>
      </c>
      <c r="AA38" s="55">
        <f t="shared" si="24"/>
        <v>7.2746475837392771E-2</v>
      </c>
      <c r="AB38" s="55">
        <f t="shared" si="24"/>
        <v>5.8954393770856504E-2</v>
      </c>
      <c r="AC38" s="55">
        <f t="shared" si="24"/>
        <v>6.22478386167147E-2</v>
      </c>
      <c r="AD38" s="55">
        <f t="shared" ref="AD38" si="25">AD8/AD23</f>
        <v>-1.7475728155339806E-2</v>
      </c>
      <c r="AE38" s="55"/>
      <c r="AF38" s="1"/>
    </row>
    <row r="39" spans="1:32" x14ac:dyDescent="0.3">
      <c r="A39" s="16" t="s">
        <v>79</v>
      </c>
      <c r="B39" s="2" t="s">
        <v>40</v>
      </c>
      <c r="C39" s="1" t="s">
        <v>107</v>
      </c>
      <c r="D39" s="56" t="e">
        <f t="shared" ref="D39:AC39" si="26">D12/D23</f>
        <v>#DIV/0!</v>
      </c>
      <c r="E39" s="56" t="e">
        <f t="shared" si="26"/>
        <v>#DIV/0!</v>
      </c>
      <c r="F39" s="56" t="e">
        <f t="shared" si="26"/>
        <v>#DIV/0!</v>
      </c>
      <c r="G39" s="56" t="e">
        <f t="shared" si="26"/>
        <v>#DIV/0!</v>
      </c>
      <c r="H39" s="56">
        <f t="shared" si="26"/>
        <v>9.8985499655098119E-2</v>
      </c>
      <c r="I39" s="56">
        <f t="shared" si="26"/>
        <v>4.2688854083289894E-2</v>
      </c>
      <c r="J39" s="56">
        <f t="shared" si="26"/>
        <v>4.2716896123466443E-5</v>
      </c>
      <c r="K39" s="56">
        <f t="shared" si="26"/>
        <v>-5.1676588602240968E-2</v>
      </c>
      <c r="L39" s="56">
        <f t="shared" si="26"/>
        <v>9.1558072764465221E-3</v>
      </c>
      <c r="M39" s="56">
        <f t="shared" si="26"/>
        <v>9.8297669610975386E-3</v>
      </c>
      <c r="N39" s="56">
        <f t="shared" si="26"/>
        <v>4.9281767955801109E-2</v>
      </c>
      <c r="O39" s="56">
        <f t="shared" si="26"/>
        <v>1.7173290458724816E-2</v>
      </c>
      <c r="P39" s="56">
        <f t="shared" si="26"/>
        <v>-1.1709588436500056</v>
      </c>
      <c r="Q39" s="56">
        <f t="shared" si="26"/>
        <v>-6.9240688356141264E-2</v>
      </c>
      <c r="R39" s="56">
        <f t="shared" si="26"/>
        <v>7.4137173736540185E-3</v>
      </c>
      <c r="S39" s="56">
        <f t="shared" si="26"/>
        <v>1.4860993660970061E-2</v>
      </c>
      <c r="T39" s="56">
        <f t="shared" si="26"/>
        <v>1.9824290617327368E-2</v>
      </c>
      <c r="U39" s="56">
        <f t="shared" si="26"/>
        <v>2.9411475296919128E-2</v>
      </c>
      <c r="V39" s="56">
        <f t="shared" si="26"/>
        <v>-2.9383606290230586E-2</v>
      </c>
      <c r="W39" s="56">
        <f t="shared" si="26"/>
        <v>6.9792993876993071E-3</v>
      </c>
      <c r="X39" s="56">
        <f t="shared" si="26"/>
        <v>1.0968806802749516E-2</v>
      </c>
      <c r="Y39" s="56">
        <f t="shared" si="26"/>
        <v>-2.0980744921348434E-3</v>
      </c>
      <c r="Z39" s="56">
        <f t="shared" si="26"/>
        <v>2.3504022392923155E-2</v>
      </c>
      <c r="AA39" s="56">
        <f t="shared" si="26"/>
        <v>1.0777255679613744E-3</v>
      </c>
      <c r="AB39" s="56">
        <f t="shared" si="26"/>
        <v>-2.0022246941045607E-2</v>
      </c>
      <c r="AC39" s="56">
        <f t="shared" si="26"/>
        <v>-2.3631123919308356E-2</v>
      </c>
      <c r="AD39" s="56">
        <f t="shared" ref="AD39" si="27">AD12/AD23</f>
        <v>-0.10032362459546926</v>
      </c>
      <c r="AE39" s="56"/>
      <c r="AF39" s="1"/>
    </row>
    <row r="40" spans="1:32" x14ac:dyDescent="0.3">
      <c r="A40" s="18" t="s">
        <v>80</v>
      </c>
      <c r="B40" s="17" t="s">
        <v>41</v>
      </c>
      <c r="C40" s="6" t="s">
        <v>61</v>
      </c>
      <c r="D40" s="7">
        <f t="shared" ref="D40:AC40" si="28">D20-D19</f>
        <v>0</v>
      </c>
      <c r="E40" s="7">
        <f t="shared" si="28"/>
        <v>0</v>
      </c>
      <c r="F40" s="7">
        <f t="shared" si="28"/>
        <v>0</v>
      </c>
      <c r="G40" s="7">
        <f t="shared" si="28"/>
        <v>0</v>
      </c>
      <c r="H40" s="7">
        <f t="shared" si="28"/>
        <v>-215.86005500000005</v>
      </c>
      <c r="I40" s="7">
        <f t="shared" si="28"/>
        <v>-45.167189999999948</v>
      </c>
      <c r="J40" s="7">
        <f t="shared" si="28"/>
        <v>31.736829999999998</v>
      </c>
      <c r="K40" s="7">
        <f t="shared" si="28"/>
        <v>45.477689999999996</v>
      </c>
      <c r="L40" s="7">
        <f t="shared" si="28"/>
        <v>294.07124679999998</v>
      </c>
      <c r="M40" s="7">
        <f t="shared" si="28"/>
        <v>9.8520000000000323</v>
      </c>
      <c r="N40" s="7">
        <f t="shared" si="28"/>
        <v>-63.22799999999998</v>
      </c>
      <c r="O40" s="7">
        <f t="shared" si="28"/>
        <v>413.67599999999993</v>
      </c>
      <c r="P40" s="7">
        <f t="shared" si="28"/>
        <v>347.45699999999999</v>
      </c>
      <c r="Q40" s="7">
        <f t="shared" si="28"/>
        <v>-5.9499999999999886</v>
      </c>
      <c r="R40" s="7">
        <f t="shared" si="28"/>
        <v>23.192000000000007</v>
      </c>
      <c r="S40" s="7">
        <f t="shared" si="28"/>
        <v>-118.72399999999999</v>
      </c>
      <c r="T40" s="7">
        <f t="shared" si="28"/>
        <v>-15.978000000000009</v>
      </c>
      <c r="U40" s="7">
        <f t="shared" si="28"/>
        <v>33.605000000000018</v>
      </c>
      <c r="V40" s="7">
        <f t="shared" si="28"/>
        <v>-28.656000000000006</v>
      </c>
      <c r="W40" s="7">
        <f t="shared" si="28"/>
        <v>-15.117999999999995</v>
      </c>
      <c r="X40" s="7">
        <f t="shared" si="28"/>
        <v>34.842999999999961</v>
      </c>
      <c r="Y40" s="7">
        <f t="shared" si="28"/>
        <v>52.504999999999995</v>
      </c>
      <c r="Z40" s="7">
        <f t="shared" si="28"/>
        <v>58.807000000000016</v>
      </c>
      <c r="AA40" s="7">
        <f t="shared" si="28"/>
        <v>76.131999999999977</v>
      </c>
      <c r="AB40" s="7">
        <f t="shared" si="28"/>
        <v>68.299999999999983</v>
      </c>
      <c r="AC40" s="7">
        <f t="shared" si="28"/>
        <v>17.5</v>
      </c>
      <c r="AD40" s="7">
        <f t="shared" ref="AD40:AE40" si="29">AD20-AD19</f>
        <v>-39.899999999999977</v>
      </c>
      <c r="AE40" s="7">
        <f t="shared" si="29"/>
        <v>-51.299999999999983</v>
      </c>
      <c r="AF40" s="1"/>
    </row>
    <row r="41" spans="1:32" x14ac:dyDescent="0.3">
      <c r="A41" s="53" t="s">
        <v>96</v>
      </c>
      <c r="B41" s="49" t="s">
        <v>42</v>
      </c>
      <c r="C41" s="52" t="s">
        <v>98</v>
      </c>
      <c r="D41" s="29" t="e">
        <f t="shared" ref="D41:L41" si="30">D20/D19</f>
        <v>#DIV/0!</v>
      </c>
      <c r="E41" s="29" t="e">
        <f t="shared" si="30"/>
        <v>#DIV/0!</v>
      </c>
      <c r="F41" s="29" t="e">
        <f t="shared" si="30"/>
        <v>#DIV/0!</v>
      </c>
      <c r="G41" s="29" t="e">
        <f t="shared" si="30"/>
        <v>#DIV/0!</v>
      </c>
      <c r="H41" s="29">
        <f t="shared" si="30"/>
        <v>0.54751547467964434</v>
      </c>
      <c r="I41" s="29">
        <f t="shared" si="30"/>
        <v>0.87312349719800952</v>
      </c>
      <c r="J41" s="29">
        <f t="shared" si="30"/>
        <v>1.1154275700211425</v>
      </c>
      <c r="K41" s="29">
        <f t="shared" si="30"/>
        <v>1.2126623181529086</v>
      </c>
      <c r="L41" s="29">
        <f t="shared" si="30"/>
        <v>72.992414817130211</v>
      </c>
      <c r="M41" s="29">
        <f t="shared" ref="M41:AC41" si="31">M20/M19</f>
        <v>1.0398850248977776</v>
      </c>
      <c r="N41" s="29">
        <f t="shared" si="31"/>
        <v>0.73860845839017741</v>
      </c>
      <c r="O41" s="29">
        <f t="shared" si="31"/>
        <v>2.2805443170807962</v>
      </c>
      <c r="P41" s="29">
        <f t="shared" si="31"/>
        <v>2.1628491489233528</v>
      </c>
      <c r="Q41" s="29">
        <f t="shared" si="31"/>
        <v>0.98675331556719192</v>
      </c>
      <c r="R41" s="29">
        <f t="shared" si="31"/>
        <v>1.070243666045765</v>
      </c>
      <c r="S41" s="29">
        <f t="shared" si="31"/>
        <v>0.71431665218887386</v>
      </c>
      <c r="T41" s="29">
        <f t="shared" si="31"/>
        <v>0.9548618566020679</v>
      </c>
      <c r="U41" s="29">
        <f t="shared" si="31"/>
        <v>1.1266225814352193</v>
      </c>
      <c r="V41" s="29">
        <f t="shared" si="31"/>
        <v>0.90704101990170793</v>
      </c>
      <c r="W41" s="29">
        <f t="shared" si="31"/>
        <v>0.94774553687157603</v>
      </c>
      <c r="X41" s="29">
        <f t="shared" si="31"/>
        <v>1.1496692439862541</v>
      </c>
      <c r="Y41" s="29">
        <f t="shared" si="31"/>
        <v>1.2589003944773176</v>
      </c>
      <c r="Z41" s="29">
        <f t="shared" si="31"/>
        <v>1.2847796610169493</v>
      </c>
      <c r="AA41" s="29">
        <f t="shared" si="31"/>
        <v>1.4185376580538755</v>
      </c>
      <c r="AB41" s="29">
        <f t="shared" si="31"/>
        <v>1.4157029823493608</v>
      </c>
      <c r="AC41" s="29">
        <f t="shared" si="31"/>
        <v>1.0636826783114992</v>
      </c>
      <c r="AD41" s="29">
        <f t="shared" ref="AD41:AE41" si="32">AD20/AD19</f>
        <v>0.85341660543717868</v>
      </c>
      <c r="AE41" s="29">
        <f t="shared" si="32"/>
        <v>0.83218842001962712</v>
      </c>
      <c r="AF41" s="1"/>
    </row>
    <row r="42" spans="1:32" x14ac:dyDescent="0.3">
      <c r="A42" s="16" t="s">
        <v>81</v>
      </c>
      <c r="B42" s="17" t="s">
        <v>43</v>
      </c>
      <c r="C42" s="1" t="s">
        <v>60</v>
      </c>
      <c r="D42" s="30" t="e">
        <f t="shared" ref="D42:AC42" si="33">(D20-D21)/D19</f>
        <v>#DIV/0!</v>
      </c>
      <c r="E42" s="30" t="e">
        <f t="shared" si="33"/>
        <v>#DIV/0!</v>
      </c>
      <c r="F42" s="30" t="e">
        <f t="shared" si="33"/>
        <v>#DIV/0!</v>
      </c>
      <c r="G42" s="30" t="e">
        <f t="shared" si="33"/>
        <v>#DIV/0!</v>
      </c>
      <c r="H42" s="30">
        <f t="shared" si="33"/>
        <v>0.19272513399971747</v>
      </c>
      <c r="I42" s="30">
        <f t="shared" si="33"/>
        <v>0.65659745207592946</v>
      </c>
      <c r="J42" s="30">
        <f t="shared" si="33"/>
        <v>0.75877985454600738</v>
      </c>
      <c r="K42" s="30">
        <f t="shared" si="33"/>
        <v>0.8066743820683826</v>
      </c>
      <c r="L42" s="30">
        <f t="shared" si="33"/>
        <v>53.294529520167828</v>
      </c>
      <c r="M42" s="30">
        <f t="shared" si="33"/>
        <v>0.72524189304076769</v>
      </c>
      <c r="N42" s="30">
        <f t="shared" si="33"/>
        <v>0.39607672909173597</v>
      </c>
      <c r="O42" s="30">
        <f t="shared" si="33"/>
        <v>2.0194058449699268</v>
      </c>
      <c r="P42" s="30">
        <f t="shared" si="33"/>
        <v>1.8851799543504308</v>
      </c>
      <c r="Q42" s="30">
        <f t="shared" si="33"/>
        <v>0.81132491333996792</v>
      </c>
      <c r="R42" s="30">
        <f t="shared" si="33"/>
        <v>0.81756091651144125</v>
      </c>
      <c r="S42" s="30">
        <f t="shared" si="33"/>
        <v>0.55720572983716699</v>
      </c>
      <c r="T42" s="30">
        <f t="shared" si="33"/>
        <v>0.73084355048307814</v>
      </c>
      <c r="U42" s="30">
        <f t="shared" si="33"/>
        <v>0.85898754686410828</v>
      </c>
      <c r="V42" s="30">
        <f t="shared" si="33"/>
        <v>0.6934261106515498</v>
      </c>
      <c r="W42" s="30">
        <f t="shared" si="33"/>
        <v>0.71307052866253051</v>
      </c>
      <c r="X42" s="30">
        <f t="shared" si="33"/>
        <v>0.87923539518900329</v>
      </c>
      <c r="Y42" s="30">
        <f t="shared" si="33"/>
        <v>0.9471942800788955</v>
      </c>
      <c r="Z42" s="30">
        <f t="shared" si="33"/>
        <v>0.96133171912832938</v>
      </c>
      <c r="AA42" s="30">
        <f t="shared" si="33"/>
        <v>1.0604947773501923</v>
      </c>
      <c r="AB42" s="30">
        <f t="shared" si="33"/>
        <v>1.0584297017650637</v>
      </c>
      <c r="AC42" s="30">
        <f t="shared" si="33"/>
        <v>0.80494905385735083</v>
      </c>
      <c r="AD42" s="30">
        <f t="shared" ref="AD42:AE42" si="34">(AD20-AD21)/AD19</f>
        <v>0.62490815576781789</v>
      </c>
      <c r="AE42" s="30">
        <f t="shared" si="34"/>
        <v>0.61367353614654896</v>
      </c>
      <c r="AF42" s="1"/>
    </row>
    <row r="43" spans="1:32" x14ac:dyDescent="0.3">
      <c r="A43" s="18" t="s">
        <v>82</v>
      </c>
      <c r="B43" s="49" t="s">
        <v>44</v>
      </c>
      <c r="C43" s="6" t="s">
        <v>62</v>
      </c>
      <c r="D43" s="29" t="e">
        <f t="shared" ref="D43:AC43" si="35">D14/D19</f>
        <v>#DIV/0!</v>
      </c>
      <c r="E43" s="29" t="e">
        <f t="shared" si="35"/>
        <v>#DIV/0!</v>
      </c>
      <c r="F43" s="29" t="e">
        <f t="shared" si="35"/>
        <v>#DIV/0!</v>
      </c>
      <c r="G43" s="29" t="e">
        <f t="shared" si="35"/>
        <v>#DIV/0!</v>
      </c>
      <c r="H43" s="29">
        <f t="shared" si="35"/>
        <v>3.9817531773215883E-2</v>
      </c>
      <c r="I43" s="29">
        <f t="shared" si="35"/>
        <v>5.2990912695164469E-2</v>
      </c>
      <c r="J43" s="29">
        <f t="shared" si="35"/>
        <v>0.12925713048295262</v>
      </c>
      <c r="K43" s="29">
        <f t="shared" si="35"/>
        <v>0.12881252691439596</v>
      </c>
      <c r="L43" s="29">
        <f t="shared" si="35"/>
        <v>-3.8418477767518491</v>
      </c>
      <c r="M43" s="29">
        <f t="shared" si="35"/>
        <v>-0.17611027893607545</v>
      </c>
      <c r="N43" s="29">
        <f t="shared" si="35"/>
        <v>-2.4936954814171731E-2</v>
      </c>
      <c r="O43" s="29">
        <f t="shared" si="35"/>
        <v>-0.11024711574476778</v>
      </c>
      <c r="P43" s="29">
        <f t="shared" si="35"/>
        <v>6.1064665760814991E-2</v>
      </c>
      <c r="Q43" s="29">
        <f t="shared" si="35"/>
        <v>0.35786084970245058</v>
      </c>
      <c r="R43" s="29">
        <f t="shared" si="35"/>
        <v>-0.26544606484636468</v>
      </c>
      <c r="S43" s="29">
        <f t="shared" si="35"/>
        <v>2.1983786476217515E-2</v>
      </c>
      <c r="T43" s="29">
        <f t="shared" si="35"/>
        <v>-5.5664161817051812E-2</v>
      </c>
      <c r="U43" s="29">
        <f t="shared" si="35"/>
        <v>0.12995346558902768</v>
      </c>
      <c r="V43" s="29">
        <f t="shared" si="35"/>
        <v>2.8485231862196491E-2</v>
      </c>
      <c r="W43" s="29">
        <f t="shared" si="35"/>
        <v>8.6411005305635724E-2</v>
      </c>
      <c r="X43" s="29">
        <f t="shared" si="35"/>
        <v>0.13659793814432988</v>
      </c>
      <c r="Y43" s="29">
        <f t="shared" si="35"/>
        <v>0.1257396449704142</v>
      </c>
      <c r="Z43" s="29">
        <f t="shared" si="35"/>
        <v>0.1079903147699758</v>
      </c>
      <c r="AA43" s="29">
        <f t="shared" si="35"/>
        <v>0.10610225398570643</v>
      </c>
      <c r="AB43" s="29">
        <f t="shared" si="35"/>
        <v>0.10894704808277539</v>
      </c>
      <c r="AC43" s="29">
        <f t="shared" si="35"/>
        <v>0.13719068413391558</v>
      </c>
      <c r="AD43" s="29">
        <f t="shared" ref="AD43:AE43" si="36">AD14/AD19</f>
        <v>3.4533431300514332E-2</v>
      </c>
      <c r="AE43" s="29">
        <f t="shared" si="36"/>
        <v>2.9767746156362448E-2</v>
      </c>
      <c r="AF43" s="1"/>
    </row>
    <row r="44" spans="1:32" x14ac:dyDescent="0.3">
      <c r="A44" s="16" t="s">
        <v>83</v>
      </c>
      <c r="B44" s="17" t="s">
        <v>45</v>
      </c>
      <c r="C44" s="1" t="s">
        <v>63</v>
      </c>
      <c r="D44" s="30" t="e">
        <f t="shared" ref="D44:AC44" si="37">D29/D7</f>
        <v>#DIV/0!</v>
      </c>
      <c r="E44" s="30" t="e">
        <f t="shared" si="37"/>
        <v>#DIV/0!</v>
      </c>
      <c r="F44" s="30" t="e">
        <f t="shared" si="37"/>
        <v>#DIV/0!</v>
      </c>
      <c r="G44" s="30" t="e">
        <f t="shared" si="37"/>
        <v>#DIV/0!</v>
      </c>
      <c r="H44" s="30">
        <f t="shared" si="37"/>
        <v>9.246897934759037</v>
      </c>
      <c r="I44" s="30">
        <f t="shared" si="37"/>
        <v>11.528769393632725</v>
      </c>
      <c r="J44" s="30">
        <f t="shared" si="37"/>
        <v>11.622345022908839</v>
      </c>
      <c r="K44" s="30">
        <f t="shared" si="37"/>
        <v>17.588885634954014</v>
      </c>
      <c r="L44" s="30">
        <f t="shared" si="37"/>
        <v>21.94556796842911</v>
      </c>
      <c r="M44" s="30">
        <f t="shared" si="37"/>
        <v>22.802848412392539</v>
      </c>
      <c r="N44" s="30">
        <f t="shared" si="37"/>
        <v>11.963980479743862</v>
      </c>
      <c r="O44" s="30">
        <f t="shared" si="37"/>
        <v>8.0703402012458074</v>
      </c>
      <c r="P44" s="30">
        <f t="shared" si="37"/>
        <v>9.789309574946305</v>
      </c>
      <c r="Q44" s="30">
        <f t="shared" si="37"/>
        <v>10.605264630189101</v>
      </c>
      <c r="R44" s="30">
        <f t="shared" si="37"/>
        <v>13.747853704530794</v>
      </c>
      <c r="S44" s="30">
        <f t="shared" si="37"/>
        <v>13.593386446214874</v>
      </c>
      <c r="T44" s="30">
        <f t="shared" si="37"/>
        <v>14.374701592596226</v>
      </c>
      <c r="U44" s="30">
        <f t="shared" si="37"/>
        <v>17.324401954900111</v>
      </c>
      <c r="V44" s="30">
        <f t="shared" si="37"/>
        <v>20.222699282526413</v>
      </c>
      <c r="W44" s="30">
        <f t="shared" si="37"/>
        <v>15.188251536474571</v>
      </c>
      <c r="X44" s="30">
        <f t="shared" si="37"/>
        <v>13.289970625262274</v>
      </c>
      <c r="Y44" s="30">
        <f t="shared" si="37"/>
        <v>14.068144796380087</v>
      </c>
      <c r="Z44" s="30">
        <f t="shared" si="37"/>
        <v>10.805315985130111</v>
      </c>
      <c r="AA44" s="30">
        <f t="shared" si="37"/>
        <v>15.594139618075646</v>
      </c>
      <c r="AB44" s="30">
        <f t="shared" si="37"/>
        <v>16.59756097560976</v>
      </c>
      <c r="AC44" s="30">
        <f t="shared" si="37"/>
        <v>12.632958801498129</v>
      </c>
      <c r="AD44" s="30">
        <f t="shared" ref="AD44" si="38">AD29/AD7</f>
        <v>19.936708860759492</v>
      </c>
      <c r="AE44" s="30">
        <v>0</v>
      </c>
      <c r="AF44" s="1"/>
    </row>
    <row r="45" spans="1:32" x14ac:dyDescent="0.3">
      <c r="A45" s="18" t="s">
        <v>84</v>
      </c>
      <c r="B45" s="54" t="s">
        <v>99</v>
      </c>
      <c r="C45" s="6" t="s">
        <v>64</v>
      </c>
      <c r="D45" s="29" t="e">
        <f t="shared" ref="D45:AC45" si="39">D18/D23</f>
        <v>#DIV/0!</v>
      </c>
      <c r="E45" s="29" t="e">
        <f t="shared" si="39"/>
        <v>#DIV/0!</v>
      </c>
      <c r="F45" s="29" t="e">
        <f t="shared" si="39"/>
        <v>#DIV/0!</v>
      </c>
      <c r="G45" s="29" t="e">
        <f t="shared" si="39"/>
        <v>#DIV/0!</v>
      </c>
      <c r="H45" s="29">
        <f t="shared" si="39"/>
        <v>3.4579229906942404</v>
      </c>
      <c r="I45" s="29">
        <f t="shared" si="39"/>
        <v>4.2264744366428761</v>
      </c>
      <c r="J45" s="29">
        <f t="shared" si="39"/>
        <v>4.0700576907159283</v>
      </c>
      <c r="K45" s="29">
        <f t="shared" si="39"/>
        <v>4.2642759506684111</v>
      </c>
      <c r="L45" s="29">
        <f t="shared" si="39"/>
        <v>5.7943697642704075</v>
      </c>
      <c r="M45" s="29">
        <f t="shared" si="39"/>
        <v>6.0741715216438017</v>
      </c>
      <c r="N45" s="29">
        <f t="shared" si="39"/>
        <v>5.2528411049723758</v>
      </c>
      <c r="O45" s="29">
        <f t="shared" si="39"/>
        <v>6.4031352057478772</v>
      </c>
      <c r="P45" s="29">
        <f t="shared" si="39"/>
        <v>16.350877192982459</v>
      </c>
      <c r="Q45" s="29">
        <f t="shared" si="39"/>
        <v>4.7523713720539282</v>
      </c>
      <c r="R45" s="29">
        <f t="shared" si="39"/>
        <v>4.0765396440883253</v>
      </c>
      <c r="S45" s="29">
        <f t="shared" si="39"/>
        <v>3.5885333700433315</v>
      </c>
      <c r="T45" s="29">
        <f t="shared" si="39"/>
        <v>3.773596702029971</v>
      </c>
      <c r="U45" s="29">
        <f t="shared" si="39"/>
        <v>2.389488029755872</v>
      </c>
      <c r="V45" s="29">
        <f t="shared" si="39"/>
        <v>2.4488307667237024</v>
      </c>
      <c r="W45" s="29">
        <f t="shared" si="39"/>
        <v>2.4891286966300248</v>
      </c>
      <c r="X45" s="29">
        <f t="shared" si="39"/>
        <v>2.4715176650021937</v>
      </c>
      <c r="Y45" s="29">
        <f t="shared" si="39"/>
        <v>2.5271307257764186</v>
      </c>
      <c r="Z45" s="29">
        <f t="shared" si="39"/>
        <v>2.6345872373158405</v>
      </c>
      <c r="AA45" s="29">
        <f t="shared" si="39"/>
        <v>2.6140233650903135</v>
      </c>
      <c r="AB45" s="29">
        <f t="shared" si="39"/>
        <v>2.5456062291434924</v>
      </c>
      <c r="AC45" s="29">
        <f t="shared" si="39"/>
        <v>3.5752161383285301</v>
      </c>
      <c r="AD45" s="29">
        <f t="shared" ref="AD45:AE45" si="40">AD18/AD23</f>
        <v>3.7074433656957928</v>
      </c>
      <c r="AE45" s="29">
        <f t="shared" si="40"/>
        <v>3.91468253968254</v>
      </c>
      <c r="AF45" s="1"/>
    </row>
    <row r="46" spans="1:32" x14ac:dyDescent="0.3">
      <c r="A46" s="18" t="s">
        <v>97</v>
      </c>
      <c r="B46" s="17" t="s">
        <v>100</v>
      </c>
      <c r="C46" s="6" t="s">
        <v>111</v>
      </c>
      <c r="D46" s="28">
        <f t="shared" ref="D46:K46" si="41">D13/D4</f>
        <v>0</v>
      </c>
      <c r="E46" s="28">
        <f t="shared" si="41"/>
        <v>0</v>
      </c>
      <c r="F46" s="28">
        <f t="shared" si="41"/>
        <v>0</v>
      </c>
      <c r="G46" s="28">
        <f t="shared" si="41"/>
        <v>0</v>
      </c>
      <c r="H46" s="28">
        <f t="shared" si="41"/>
        <v>0</v>
      </c>
      <c r="I46" s="28">
        <f t="shared" si="41"/>
        <v>0</v>
      </c>
      <c r="J46" s="28">
        <f t="shared" si="41"/>
        <v>8.9177521613832845E-3</v>
      </c>
      <c r="K46" s="28">
        <f t="shared" si="41"/>
        <v>4.162528735632184E-3</v>
      </c>
      <c r="L46" s="28">
        <f t="shared" ref="L46:AE46" si="42">L13/L4</f>
        <v>6.4344729344729349E-4</v>
      </c>
      <c r="M46" s="28">
        <f t="shared" si="42"/>
        <v>3.1976744186046511E-3</v>
      </c>
      <c r="N46" s="28">
        <f t="shared" si="42"/>
        <v>0.40631163708086787</v>
      </c>
      <c r="O46" s="28">
        <f t="shared" si="42"/>
        <v>0.1417624521072797</v>
      </c>
      <c r="P46" s="28">
        <f t="shared" si="42"/>
        <v>4.5813008130081304E-3</v>
      </c>
      <c r="Q46" s="28">
        <f t="shared" si="42"/>
        <v>0</v>
      </c>
      <c r="R46" s="28">
        <f t="shared" si="42"/>
        <v>0</v>
      </c>
      <c r="S46" s="28">
        <f t="shared" si="42"/>
        <v>0</v>
      </c>
      <c r="T46" s="28">
        <f t="shared" si="42"/>
        <v>0</v>
      </c>
      <c r="U46" s="28">
        <f t="shared" si="42"/>
        <v>0</v>
      </c>
      <c r="V46" s="28">
        <f t="shared" si="42"/>
        <v>0</v>
      </c>
      <c r="W46" s="28">
        <f t="shared" si="42"/>
        <v>50</v>
      </c>
      <c r="X46" s="28">
        <f t="shared" si="42"/>
        <v>0</v>
      </c>
      <c r="Y46" s="28">
        <f t="shared" si="42"/>
        <v>0</v>
      </c>
      <c r="Z46" s="28">
        <f t="shared" si="42"/>
        <v>0</v>
      </c>
      <c r="AA46" s="28">
        <f t="shared" si="42"/>
        <v>0</v>
      </c>
      <c r="AB46" s="28">
        <f t="shared" si="42"/>
        <v>0</v>
      </c>
      <c r="AC46" s="28">
        <f t="shared" si="42"/>
        <v>0</v>
      </c>
      <c r="AD46" s="28">
        <f t="shared" si="42"/>
        <v>0</v>
      </c>
      <c r="AE46" s="28">
        <f t="shared" si="42"/>
        <v>0</v>
      </c>
      <c r="AF46" s="1"/>
    </row>
  </sheetData>
  <mergeCells count="3">
    <mergeCell ref="A6:A13"/>
    <mergeCell ref="A14:A23"/>
    <mergeCell ref="AC2:AE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1AAEA-969D-4F05-832A-C4A53740C7B4}">
  <sheetPr codeName="Planilha22"/>
  <dimension ref="A3:AI46"/>
  <sheetViews>
    <sheetView workbookViewId="0">
      <pane xSplit="3" ySplit="3" topLeftCell="Q4" activePane="bottomRight" state="frozen"/>
      <selection activeCell="C22" sqref="C22"/>
      <selection pane="topRight" activeCell="C22" sqref="C22"/>
      <selection pane="bottomLeft" activeCell="C22" sqref="C22"/>
      <selection pane="bottomRight" activeCell="AE37" sqref="AE37"/>
    </sheetView>
  </sheetViews>
  <sheetFormatPr defaultRowHeight="14.4" x14ac:dyDescent="0.3"/>
  <cols>
    <col min="1" max="1" width="10" bestFit="1" customWidth="1"/>
    <col min="2" max="2" width="4" bestFit="1" customWidth="1"/>
    <col min="3" max="3" width="27.6640625" bestFit="1" customWidth="1"/>
    <col min="4" max="31" width="8.33203125" customWidth="1"/>
  </cols>
  <sheetData>
    <row r="3" spans="1:35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8" t="s">
        <v>94</v>
      </c>
      <c r="AG3" s="8" t="s">
        <v>116</v>
      </c>
      <c r="AH3" s="8" t="s">
        <v>117</v>
      </c>
      <c r="AI3" s="8" t="s">
        <v>118</v>
      </c>
    </row>
    <row r="4" spans="1:35" x14ac:dyDescent="0.3">
      <c r="A4" s="4" t="s">
        <v>5</v>
      </c>
      <c r="B4" s="11">
        <v>1</v>
      </c>
      <c r="C4" s="6" t="s">
        <v>4</v>
      </c>
      <c r="D4" s="19">
        <v>0.93</v>
      </c>
      <c r="E4" s="19">
        <v>1.1399999999999999</v>
      </c>
      <c r="F4" s="19">
        <v>2.09</v>
      </c>
      <c r="G4" s="19">
        <v>3.82</v>
      </c>
      <c r="H4" s="19">
        <v>6.1</v>
      </c>
      <c r="I4" s="19">
        <v>4.3499999999999996</v>
      </c>
      <c r="J4" s="19">
        <v>1.88</v>
      </c>
      <c r="K4" s="19">
        <v>1.58</v>
      </c>
      <c r="L4" s="19">
        <v>1.19</v>
      </c>
      <c r="M4" s="19">
        <v>1.79</v>
      </c>
      <c r="N4" s="19">
        <v>1.88</v>
      </c>
      <c r="O4" s="19">
        <v>2.46</v>
      </c>
      <c r="P4" s="19">
        <v>3.3</v>
      </c>
      <c r="Q4" s="19">
        <v>5.23</v>
      </c>
      <c r="R4" s="19">
        <v>3.85</v>
      </c>
      <c r="S4" s="19">
        <v>6.77</v>
      </c>
      <c r="T4" s="19">
        <v>11.05</v>
      </c>
      <c r="U4" s="19">
        <v>12.4</v>
      </c>
      <c r="V4" s="19">
        <v>14.15</v>
      </c>
      <c r="W4" s="19">
        <v>13.78</v>
      </c>
      <c r="X4" s="19">
        <v>8.08</v>
      </c>
      <c r="Y4" s="19">
        <v>12</v>
      </c>
      <c r="Z4" s="19">
        <v>14.74</v>
      </c>
      <c r="AA4" s="19">
        <v>16.2</v>
      </c>
      <c r="AB4" s="19">
        <v>10.34</v>
      </c>
      <c r="AC4" s="19">
        <v>14.664999999999999</v>
      </c>
      <c r="AD4" s="19">
        <v>13.82</v>
      </c>
      <c r="AE4" s="19">
        <v>20.100000000000001</v>
      </c>
      <c r="AF4" s="19">
        <v>19.625</v>
      </c>
      <c r="AG4" s="19">
        <v>19.625</v>
      </c>
      <c r="AH4" s="19">
        <v>19.625</v>
      </c>
      <c r="AI4" s="19">
        <v>19.625</v>
      </c>
    </row>
    <row r="5" spans="1:35" x14ac:dyDescent="0.3">
      <c r="A5" s="5" t="s">
        <v>8</v>
      </c>
      <c r="B5" s="12">
        <v>3</v>
      </c>
      <c r="C5" s="1" t="s">
        <v>86</v>
      </c>
      <c r="D5" s="3">
        <v>457</v>
      </c>
      <c r="E5" s="3">
        <v>464</v>
      </c>
      <c r="F5" s="3">
        <v>499</v>
      </c>
      <c r="G5" s="3">
        <v>508</v>
      </c>
      <c r="H5" s="3">
        <v>514</v>
      </c>
      <c r="I5" s="3">
        <v>543</v>
      </c>
      <c r="J5" s="3">
        <v>537</v>
      </c>
      <c r="K5" s="3">
        <v>542</v>
      </c>
      <c r="L5" s="3">
        <v>542</v>
      </c>
      <c r="M5" s="3">
        <v>542</v>
      </c>
      <c r="N5" s="3">
        <v>628</v>
      </c>
      <c r="O5" s="3">
        <v>628</v>
      </c>
      <c r="P5" s="3">
        <v>628</v>
      </c>
      <c r="Q5" s="3">
        <v>628</v>
      </c>
      <c r="R5" s="3">
        <v>628</v>
      </c>
      <c r="S5" s="3">
        <v>628</v>
      </c>
      <c r="T5" s="3">
        <v>628</v>
      </c>
      <c r="U5" s="3">
        <v>628</v>
      </c>
      <c r="V5" s="3">
        <v>628</v>
      </c>
      <c r="W5" s="3">
        <v>628</v>
      </c>
      <c r="X5" s="3">
        <v>628</v>
      </c>
      <c r="Y5" s="3">
        <v>628</v>
      </c>
      <c r="Z5" s="3">
        <v>628.43421999999998</v>
      </c>
      <c r="AA5" s="3">
        <v>628</v>
      </c>
      <c r="AB5" s="3">
        <v>628.45000000000005</v>
      </c>
      <c r="AC5" s="3">
        <v>629.25</v>
      </c>
      <c r="AD5" s="3">
        <v>629.25</v>
      </c>
      <c r="AE5" s="3">
        <v>628.5</v>
      </c>
      <c r="AF5" s="3">
        <v>628.5</v>
      </c>
      <c r="AG5" s="3">
        <v>628.5</v>
      </c>
      <c r="AH5" s="3">
        <v>628.5</v>
      </c>
      <c r="AI5" s="3">
        <v>628.5</v>
      </c>
    </row>
    <row r="6" spans="1:35" x14ac:dyDescent="0.3">
      <c r="A6" s="101" t="s">
        <v>7</v>
      </c>
      <c r="B6" s="13">
        <v>4</v>
      </c>
      <c r="C6" s="6" t="s">
        <v>112</v>
      </c>
      <c r="D6" s="7">
        <v>1081</v>
      </c>
      <c r="E6" s="7">
        <v>1405</v>
      </c>
      <c r="F6" s="7">
        <v>1795</v>
      </c>
      <c r="G6" s="7">
        <v>2087</v>
      </c>
      <c r="H6" s="7">
        <v>2991</v>
      </c>
      <c r="I6" s="7">
        <v>3280</v>
      </c>
      <c r="J6" s="7">
        <v>3915</v>
      </c>
      <c r="K6" s="7">
        <v>4200</v>
      </c>
      <c r="L6" s="7">
        <v>3892</v>
      </c>
      <c r="M6" s="7">
        <v>3417</v>
      </c>
      <c r="N6" s="7">
        <v>3495</v>
      </c>
      <c r="O6" s="7">
        <v>3828</v>
      </c>
      <c r="P6" s="7">
        <v>4407</v>
      </c>
      <c r="Q6" s="7">
        <v>5350</v>
      </c>
      <c r="R6" s="7">
        <v>6890</v>
      </c>
      <c r="S6" s="7">
        <v>7317.1</v>
      </c>
      <c r="T6" s="7">
        <v>8691</v>
      </c>
      <c r="U6" s="7">
        <v>9838</v>
      </c>
      <c r="V6" s="7">
        <v>10683</v>
      </c>
      <c r="W6" s="7">
        <v>11829</v>
      </c>
      <c r="X6" s="7">
        <v>12680</v>
      </c>
      <c r="Y6" s="7">
        <v>13728</v>
      </c>
      <c r="Z6" s="7">
        <v>14622</v>
      </c>
      <c r="AA6" s="7">
        <v>16276</v>
      </c>
      <c r="AB6" s="7">
        <v>17337</v>
      </c>
      <c r="AC6" s="7">
        <v>18638</v>
      </c>
      <c r="AD6" s="7">
        <v>19293</v>
      </c>
      <c r="AE6" s="7">
        <v>20816</v>
      </c>
      <c r="AF6" s="7">
        <v>22410</v>
      </c>
      <c r="AG6" s="3">
        <v>23904</v>
      </c>
      <c r="AH6" s="3">
        <v>25524</v>
      </c>
      <c r="AI6" s="1">
        <v>26952</v>
      </c>
    </row>
    <row r="7" spans="1:35" x14ac:dyDescent="0.3">
      <c r="A7" s="101"/>
      <c r="B7" s="13">
        <v>5</v>
      </c>
      <c r="C7" s="1" t="s">
        <v>9</v>
      </c>
      <c r="D7" s="3"/>
      <c r="E7" s="3"/>
      <c r="F7" s="3"/>
      <c r="G7" s="3"/>
      <c r="H7" s="3">
        <v>249.1</v>
      </c>
      <c r="I7" s="3">
        <v>278.45699999999999</v>
      </c>
      <c r="J7" s="3">
        <v>194.126</v>
      </c>
      <c r="K7" s="3">
        <v>260</v>
      </c>
      <c r="L7" s="3">
        <v>264</v>
      </c>
      <c r="M7" s="3">
        <v>290</v>
      </c>
      <c r="N7" s="3">
        <v>305</v>
      </c>
      <c r="O7" s="3">
        <v>308</v>
      </c>
      <c r="P7" s="3">
        <v>318.78199999999998</v>
      </c>
      <c r="Q7" s="3">
        <v>351.43</v>
      </c>
      <c r="R7" s="3">
        <v>472.97399999999999</v>
      </c>
      <c r="S7" s="3">
        <v>528.048</v>
      </c>
      <c r="T7" s="3">
        <v>624</v>
      </c>
      <c r="U7" s="3">
        <v>693</v>
      </c>
      <c r="V7" s="3">
        <v>740</v>
      </c>
      <c r="W7" s="3">
        <v>777</v>
      </c>
      <c r="X7" s="3">
        <v>733</v>
      </c>
      <c r="Y7" s="3">
        <v>800</v>
      </c>
      <c r="Z7" s="3">
        <v>862</v>
      </c>
      <c r="AA7" s="3">
        <v>922</v>
      </c>
      <c r="AB7" s="3">
        <v>960</v>
      </c>
      <c r="AC7" s="3">
        <v>1045</v>
      </c>
      <c r="AD7" s="3">
        <v>1373</v>
      </c>
      <c r="AE7" s="3">
        <v>1539</v>
      </c>
      <c r="AF7" s="3">
        <v>1683</v>
      </c>
      <c r="AG7" s="3">
        <v>1808</v>
      </c>
      <c r="AH7" s="3">
        <v>2014</v>
      </c>
      <c r="AI7" s="1">
        <v>2132</v>
      </c>
    </row>
    <row r="8" spans="1:35" x14ac:dyDescent="0.3">
      <c r="A8" s="101"/>
      <c r="B8" s="13">
        <v>6</v>
      </c>
      <c r="C8" s="6" t="s">
        <v>10</v>
      </c>
      <c r="D8" s="7"/>
      <c r="E8" s="7"/>
      <c r="F8" s="7"/>
      <c r="G8" s="7"/>
      <c r="H8" s="3">
        <v>139.886</v>
      </c>
      <c r="I8" s="7">
        <v>147.27000000000001</v>
      </c>
      <c r="J8" s="7">
        <v>40.387</v>
      </c>
      <c r="K8" s="7">
        <v>85</v>
      </c>
      <c r="L8" s="7">
        <v>115</v>
      </c>
      <c r="M8" s="7">
        <v>165</v>
      </c>
      <c r="N8" s="7">
        <v>208</v>
      </c>
      <c r="O8" s="7">
        <v>209</v>
      </c>
      <c r="P8" s="7">
        <v>211.75399999999999</v>
      </c>
      <c r="Q8" s="7">
        <v>224.708</v>
      </c>
      <c r="R8" s="7">
        <v>315.39100000000002</v>
      </c>
      <c r="S8" s="7">
        <v>359.73599999999999</v>
      </c>
      <c r="T8" s="7">
        <v>434</v>
      </c>
      <c r="U8" s="7">
        <v>487</v>
      </c>
      <c r="V8" s="7">
        <v>518</v>
      </c>
      <c r="W8" s="7">
        <v>528</v>
      </c>
      <c r="X8" s="7">
        <v>457</v>
      </c>
      <c r="Y8" s="7">
        <v>505</v>
      </c>
      <c r="Z8" s="7">
        <v>568</v>
      </c>
      <c r="AA8" s="7">
        <v>591</v>
      </c>
      <c r="AB8" s="7">
        <v>596</v>
      </c>
      <c r="AC8" s="7">
        <v>648</v>
      </c>
      <c r="AD8" s="7">
        <v>638.89</v>
      </c>
      <c r="AE8" s="7">
        <v>811.79</v>
      </c>
      <c r="AF8" s="7">
        <v>909.81</v>
      </c>
      <c r="AG8" s="3">
        <v>992.26</v>
      </c>
      <c r="AH8" s="3">
        <v>1083</v>
      </c>
      <c r="AI8" s="1">
        <v>1156</v>
      </c>
    </row>
    <row r="9" spans="1:35" x14ac:dyDescent="0.3">
      <c r="A9" s="101"/>
      <c r="B9" s="13">
        <v>11</v>
      </c>
      <c r="C9" s="1" t="s">
        <v>11</v>
      </c>
      <c r="D9" s="3"/>
      <c r="E9" s="3"/>
      <c r="F9" s="3"/>
      <c r="G9" s="3"/>
      <c r="H9" s="3">
        <f>-(H8-H10)</f>
        <v>-39.835999999999999</v>
      </c>
      <c r="I9" s="3">
        <f>-(I8-I10)</f>
        <v>-58.400000000000006</v>
      </c>
      <c r="J9" s="3">
        <v>-120.83499999999999</v>
      </c>
      <c r="K9" s="3">
        <v>-128</v>
      </c>
      <c r="L9" s="3">
        <v>-86</v>
      </c>
      <c r="M9" s="3">
        <v>-57</v>
      </c>
      <c r="N9" s="3">
        <v>-51</v>
      </c>
      <c r="O9" s="3">
        <v>-46</v>
      </c>
      <c r="P9" s="3">
        <v>-42.344999999999999</v>
      </c>
      <c r="Q9" s="3">
        <v>-59.238</v>
      </c>
      <c r="R9" s="3">
        <f>R10-R8</f>
        <v>-93.28000000000003</v>
      </c>
      <c r="S9" s="3">
        <f>S10-S8</f>
        <v>-80.84499999999997</v>
      </c>
      <c r="T9" s="3">
        <v>-55</v>
      </c>
      <c r="U9" s="3">
        <v>-44</v>
      </c>
      <c r="V9" s="3">
        <v>-36</v>
      </c>
      <c r="W9" s="3">
        <v>-24</v>
      </c>
      <c r="X9" s="3">
        <v>-28</v>
      </c>
      <c r="Y9" s="3">
        <v>-29</v>
      </c>
      <c r="Z9" s="3">
        <v>177</v>
      </c>
      <c r="AA9" s="3">
        <v>-26</v>
      </c>
      <c r="AB9" s="3">
        <v>-25</v>
      </c>
      <c r="AC9" s="3">
        <v>-159.13</v>
      </c>
      <c r="AD9" s="3">
        <v>-148.30000000000001</v>
      </c>
      <c r="AE9" s="3">
        <v>-133.01</v>
      </c>
      <c r="AF9" s="66">
        <v>-152.16</v>
      </c>
      <c r="AG9" s="3">
        <v>-135.94999999999999</v>
      </c>
      <c r="AH9" s="3"/>
      <c r="AI9" s="1"/>
    </row>
    <row r="10" spans="1:35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>
        <v>100.05</v>
      </c>
      <c r="I10" s="7">
        <v>88.87</v>
      </c>
      <c r="J10" s="7">
        <v>-64.52</v>
      </c>
      <c r="K10" s="7">
        <v>-38</v>
      </c>
      <c r="L10" s="7">
        <v>-173</v>
      </c>
      <c r="M10" s="7">
        <v>103</v>
      </c>
      <c r="N10" s="7">
        <v>150</v>
      </c>
      <c r="O10" s="7">
        <v>171</v>
      </c>
      <c r="P10" s="7">
        <v>189.352</v>
      </c>
      <c r="Q10" s="7">
        <v>187.76599999999999</v>
      </c>
      <c r="R10" s="7">
        <v>222.11099999999999</v>
      </c>
      <c r="S10" s="7">
        <v>278.89100000000002</v>
      </c>
      <c r="T10" s="7">
        <v>379</v>
      </c>
      <c r="U10" s="7">
        <v>463</v>
      </c>
      <c r="V10" s="7">
        <v>483</v>
      </c>
      <c r="W10" s="7">
        <v>503</v>
      </c>
      <c r="X10" s="7">
        <v>429</v>
      </c>
      <c r="Y10" s="7">
        <v>475</v>
      </c>
      <c r="Z10" s="7">
        <v>512</v>
      </c>
      <c r="AA10" s="7">
        <v>564.82000000000005</v>
      </c>
      <c r="AB10" s="7">
        <v>561.79</v>
      </c>
      <c r="AC10" s="7">
        <v>549.23</v>
      </c>
      <c r="AD10" s="7">
        <v>458.66</v>
      </c>
      <c r="AE10" s="7">
        <v>651.95000000000005</v>
      </c>
      <c r="AF10" s="7">
        <v>755.73</v>
      </c>
      <c r="AG10" s="3">
        <v>822.86</v>
      </c>
      <c r="AH10" s="3">
        <v>893.5</v>
      </c>
      <c r="AI10" s="1">
        <v>950</v>
      </c>
    </row>
    <row r="11" spans="1:35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>
        <f>H10-H12</f>
        <v>15.739999999999995</v>
      </c>
      <c r="I11" s="3">
        <f>I10-I12</f>
        <v>15.935000000000002</v>
      </c>
      <c r="J11" s="3">
        <v>19.917999999999999</v>
      </c>
      <c r="K11" s="3">
        <v>20</v>
      </c>
      <c r="L11" s="3">
        <v>20</v>
      </c>
      <c r="M11" s="3">
        <v>18</v>
      </c>
      <c r="N11" s="3">
        <v>16</v>
      </c>
      <c r="O11" s="3">
        <v>16</v>
      </c>
      <c r="P11" s="3">
        <v>38.444000000000003</v>
      </c>
      <c r="Q11" s="3">
        <v>36.856999999999999</v>
      </c>
      <c r="R11" s="3">
        <v>46.131</v>
      </c>
      <c r="S11" s="3">
        <v>55.624000000000002</v>
      </c>
      <c r="T11" s="3">
        <v>79</v>
      </c>
      <c r="U11" s="3">
        <v>106</v>
      </c>
      <c r="V11" s="3">
        <v>116</v>
      </c>
      <c r="W11" s="3">
        <v>111</v>
      </c>
      <c r="X11" s="3">
        <v>104</v>
      </c>
      <c r="Y11" s="3">
        <v>117</v>
      </c>
      <c r="Z11" s="3">
        <v>130</v>
      </c>
      <c r="AA11" s="3">
        <v>152</v>
      </c>
      <c r="AB11" s="3">
        <v>131.93</v>
      </c>
      <c r="AC11" s="3">
        <v>128.46</v>
      </c>
      <c r="AD11" s="3">
        <v>136</v>
      </c>
      <c r="AE11" s="3">
        <v>168.89</v>
      </c>
      <c r="AF11" s="3">
        <v>191.41</v>
      </c>
      <c r="AG11" s="3">
        <v>212.87</v>
      </c>
      <c r="AH11" s="3">
        <v>291</v>
      </c>
      <c r="AI11" s="1">
        <v>311</v>
      </c>
    </row>
    <row r="12" spans="1:35" x14ac:dyDescent="0.3">
      <c r="A12" s="101"/>
      <c r="B12" s="13">
        <v>14</v>
      </c>
      <c r="C12" s="6" t="s">
        <v>113</v>
      </c>
      <c r="D12" s="7">
        <v>22</v>
      </c>
      <c r="E12" s="7">
        <v>28</v>
      </c>
      <c r="F12" s="7">
        <v>35</v>
      </c>
      <c r="G12" s="7">
        <v>44</v>
      </c>
      <c r="H12" s="7">
        <v>84.31</v>
      </c>
      <c r="I12" s="7">
        <v>72.935000000000002</v>
      </c>
      <c r="J12" s="7">
        <v>-59.040999999999997</v>
      </c>
      <c r="K12" s="7">
        <v>-87</v>
      </c>
      <c r="L12" s="7">
        <v>-204</v>
      </c>
      <c r="M12" s="7">
        <v>58</v>
      </c>
      <c r="N12" s="7">
        <v>93</v>
      </c>
      <c r="O12" s="7">
        <v>110</v>
      </c>
      <c r="P12" s="7">
        <v>116</v>
      </c>
      <c r="Q12" s="7">
        <v>131</v>
      </c>
      <c r="R12" s="7">
        <v>163</v>
      </c>
      <c r="S12" s="7">
        <v>200.3</v>
      </c>
      <c r="T12" s="7">
        <v>281</v>
      </c>
      <c r="U12" s="7">
        <v>340</v>
      </c>
      <c r="V12" s="7">
        <v>360</v>
      </c>
      <c r="W12" s="7">
        <v>382</v>
      </c>
      <c r="X12" s="7">
        <v>302</v>
      </c>
      <c r="Y12" s="7">
        <v>333</v>
      </c>
      <c r="Z12" s="7">
        <v>361</v>
      </c>
      <c r="AA12" s="7">
        <v>385</v>
      </c>
      <c r="AB12" s="7">
        <v>401</v>
      </c>
      <c r="AC12" s="7">
        <v>433</v>
      </c>
      <c r="AD12" s="7">
        <v>312.13</v>
      </c>
      <c r="AE12" s="7">
        <v>465.86</v>
      </c>
      <c r="AF12" s="7">
        <v>537.4</v>
      </c>
      <c r="AG12" s="3">
        <v>597.07000000000005</v>
      </c>
      <c r="AH12" s="3">
        <v>653.33000000000004</v>
      </c>
      <c r="AI12" s="1">
        <v>700</v>
      </c>
    </row>
    <row r="13" spans="1:35" x14ac:dyDescent="0.3">
      <c r="A13" s="101"/>
      <c r="B13" s="13">
        <v>2</v>
      </c>
      <c r="C13" s="1" t="s">
        <v>15</v>
      </c>
      <c r="D13" s="22"/>
      <c r="E13" s="22"/>
      <c r="F13" s="22"/>
      <c r="G13" s="22"/>
      <c r="H13" s="22">
        <v>3.4000000000000002E-2</v>
      </c>
      <c r="I13" s="22">
        <v>5.1999999999999998E-2</v>
      </c>
      <c r="J13" s="22">
        <v>0.13500000000000001</v>
      </c>
      <c r="K13" s="22">
        <v>6.3E-2</v>
      </c>
      <c r="L13" s="22">
        <v>7.5999999999999998E-2</v>
      </c>
      <c r="M13" s="22">
        <v>8.7999999999999995E-2</v>
      </c>
      <c r="N13" s="22">
        <v>2.58E-2</v>
      </c>
      <c r="O13" s="22">
        <v>9.2999999999999999E-2</v>
      </c>
      <c r="P13" s="22">
        <v>0.105</v>
      </c>
      <c r="Q13" s="22">
        <v>0.109</v>
      </c>
      <c r="R13" s="22">
        <v>0.11700000000000001</v>
      </c>
      <c r="S13" s="22">
        <v>0.13400000000000001</v>
      </c>
      <c r="T13" s="22">
        <v>0.38</v>
      </c>
      <c r="U13" s="22">
        <v>6.0000000000000001E-3</v>
      </c>
      <c r="V13" s="22">
        <v>0.54</v>
      </c>
      <c r="W13" s="22">
        <v>0.33600000000000002</v>
      </c>
      <c r="X13" s="22">
        <v>0.33</v>
      </c>
      <c r="Y13" s="22">
        <v>0.64600000000000002</v>
      </c>
      <c r="Z13" s="22">
        <v>61</v>
      </c>
      <c r="AA13" s="22">
        <v>0.61</v>
      </c>
      <c r="AB13" s="22">
        <v>0.33</v>
      </c>
      <c r="AC13" s="22">
        <v>0.35</v>
      </c>
      <c r="AD13" s="22">
        <v>0.35</v>
      </c>
      <c r="AE13" s="22">
        <v>0.38</v>
      </c>
      <c r="AF13" s="22">
        <v>0.44</v>
      </c>
      <c r="AG13" s="1">
        <v>0.5</v>
      </c>
      <c r="AH13" s="1">
        <v>0.56000000000000005</v>
      </c>
      <c r="AI13" s="1">
        <v>0.7</v>
      </c>
    </row>
    <row r="14" spans="1:35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>
        <v>57.216999999999999</v>
      </c>
      <c r="I14" s="7">
        <v>90.125</v>
      </c>
      <c r="J14" s="7">
        <v>84.936000000000007</v>
      </c>
      <c r="K14" s="7">
        <v>115.26</v>
      </c>
      <c r="L14" s="7">
        <v>130.23599999999999</v>
      </c>
      <c r="M14" s="7">
        <v>132.75800000000001</v>
      </c>
      <c r="N14" s="7">
        <v>161.01300000000001</v>
      </c>
      <c r="O14" s="7">
        <v>191.392</v>
      </c>
      <c r="P14" s="7">
        <v>175.76400000000001</v>
      </c>
      <c r="Q14" s="7">
        <v>268.63900000000001</v>
      </c>
      <c r="R14" s="7">
        <v>227.13200000000001</v>
      </c>
      <c r="S14" s="7">
        <v>223.501</v>
      </c>
      <c r="T14" s="7">
        <v>303.92700000000002</v>
      </c>
      <c r="U14" s="7">
        <v>524</v>
      </c>
      <c r="V14" s="7">
        <v>372</v>
      </c>
      <c r="W14" s="7">
        <v>368</v>
      </c>
      <c r="X14" s="7">
        <v>446</v>
      </c>
      <c r="Y14" s="7">
        <v>471</v>
      </c>
      <c r="Z14" s="7">
        <v>441.7</v>
      </c>
      <c r="AA14" s="7">
        <v>643.5</v>
      </c>
      <c r="AB14" s="7">
        <v>681.3</v>
      </c>
      <c r="AC14" s="7">
        <v>929.3</v>
      </c>
      <c r="AD14" s="7">
        <v>1043</v>
      </c>
      <c r="AE14" s="7">
        <v>1168.8</v>
      </c>
      <c r="AF14" s="7"/>
      <c r="AG14" s="1"/>
      <c r="AH14" s="1"/>
      <c r="AI14" s="1"/>
    </row>
    <row r="15" spans="1:35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>
        <v>953.25599999999997</v>
      </c>
      <c r="I15" s="3">
        <v>1277.6769999999999</v>
      </c>
      <c r="J15" s="3">
        <v>1563.82</v>
      </c>
      <c r="K15" s="3">
        <v>1267.877</v>
      </c>
      <c r="L15" s="3">
        <v>938.62599999999998</v>
      </c>
      <c r="M15" s="3">
        <v>844.07600000000002</v>
      </c>
      <c r="N15" s="3">
        <v>772.11900000000003</v>
      </c>
      <c r="O15" s="3">
        <v>711.36</v>
      </c>
      <c r="P15" s="3">
        <v>680.46600000000001</v>
      </c>
      <c r="Q15" s="3">
        <v>843.096</v>
      </c>
      <c r="R15" s="3">
        <v>1067.3409999999999</v>
      </c>
      <c r="S15" s="3">
        <v>910.99300000000005</v>
      </c>
      <c r="T15" s="3">
        <v>870.048</v>
      </c>
      <c r="U15" s="3">
        <v>728</v>
      </c>
      <c r="V15" s="3">
        <v>693</v>
      </c>
      <c r="W15" s="3">
        <v>714</v>
      </c>
      <c r="X15" s="3">
        <v>719</v>
      </c>
      <c r="Y15" s="3">
        <v>657.9</v>
      </c>
      <c r="Z15" s="3">
        <v>339</v>
      </c>
      <c r="AA15" s="3">
        <v>537.29999999999995</v>
      </c>
      <c r="AB15" s="3">
        <v>639.20000000000005</v>
      </c>
      <c r="AC15" s="3">
        <v>3116.7</v>
      </c>
      <c r="AD15" s="3">
        <v>2796.8</v>
      </c>
      <c r="AE15" s="3">
        <v>2787.6</v>
      </c>
      <c r="AF15" s="3"/>
      <c r="AG15" s="1"/>
      <c r="AH15" s="1"/>
      <c r="AI15" s="1"/>
    </row>
    <row r="16" spans="1:35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7">
        <v>101</v>
      </c>
      <c r="I16" s="7">
        <v>124.03100000000001</v>
      </c>
      <c r="J16" s="7">
        <v>105.892</v>
      </c>
      <c r="K16" s="7">
        <v>87.492000000000004</v>
      </c>
      <c r="L16" s="7">
        <v>229.06299999999999</v>
      </c>
      <c r="M16" s="7">
        <v>205.07300000000001</v>
      </c>
      <c r="N16" s="7">
        <v>227.58099999999999</v>
      </c>
      <c r="O16" s="7">
        <v>250.76499999999999</v>
      </c>
      <c r="P16" s="7">
        <v>275.39100000000002</v>
      </c>
      <c r="Q16" s="7">
        <v>287.32600000000002</v>
      </c>
      <c r="R16" s="7">
        <v>281.30700000000002</v>
      </c>
      <c r="S16" s="7">
        <v>287.63600000000002</v>
      </c>
      <c r="T16" s="7">
        <v>286.70600000000002</v>
      </c>
      <c r="U16" s="7">
        <v>260</v>
      </c>
      <c r="V16" s="7">
        <v>251</v>
      </c>
      <c r="W16" s="7">
        <v>236</v>
      </c>
      <c r="X16" s="7">
        <v>243</v>
      </c>
      <c r="Y16" s="7">
        <v>251.5</v>
      </c>
      <c r="Z16" s="7">
        <v>252.5</v>
      </c>
      <c r="AA16" s="7">
        <v>225.3</v>
      </c>
      <c r="AB16" s="7">
        <v>238.4</v>
      </c>
      <c r="AC16" s="7">
        <v>253.9</v>
      </c>
      <c r="AD16" s="7">
        <v>249.1</v>
      </c>
      <c r="AE16" s="7">
        <v>249.9</v>
      </c>
      <c r="AF16" s="7"/>
      <c r="AG16" s="1"/>
      <c r="AH16" s="1"/>
      <c r="AI16" s="1"/>
    </row>
    <row r="17" spans="1:35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/>
      <c r="AG17" s="1"/>
      <c r="AH17" s="1"/>
      <c r="AI17" s="1"/>
    </row>
    <row r="18" spans="1:35" x14ac:dyDescent="0.3">
      <c r="A18" s="103"/>
      <c r="B18" s="14">
        <v>15</v>
      </c>
      <c r="C18" s="6" t="s">
        <v>19</v>
      </c>
      <c r="D18" s="7"/>
      <c r="E18" s="7"/>
      <c r="F18" s="7"/>
      <c r="G18" s="7"/>
      <c r="H18" s="7">
        <v>1756.2826</v>
      </c>
      <c r="I18" s="7">
        <v>2193.0410000000002</v>
      </c>
      <c r="J18" s="7">
        <v>2631.4830000000002</v>
      </c>
      <c r="K18" s="7">
        <v>2444.3960000000002</v>
      </c>
      <c r="L18" s="7">
        <v>1959.9749999999999</v>
      </c>
      <c r="M18" s="7">
        <v>1823.3989999999999</v>
      </c>
      <c r="N18" s="7">
        <v>1664.4380000000001</v>
      </c>
      <c r="O18" s="7">
        <v>1702.1</v>
      </c>
      <c r="P18" s="7">
        <v>1837.4190000000001</v>
      </c>
      <c r="Q18" s="7">
        <v>2262.8580000000002</v>
      </c>
      <c r="R18" s="7">
        <v>2795.44</v>
      </c>
      <c r="S18" s="7">
        <v>2758.7330000000002</v>
      </c>
      <c r="T18" s="7">
        <v>3027.1</v>
      </c>
      <c r="U18" s="7">
        <v>3059.598</v>
      </c>
      <c r="V18" s="7">
        <v>3269.7849999999999</v>
      </c>
      <c r="W18" s="7">
        <v>3449.8969999999999</v>
      </c>
      <c r="X18" s="7">
        <v>3533.73</v>
      </c>
      <c r="Y18" s="7">
        <v>3991</v>
      </c>
      <c r="Z18" s="7">
        <v>3947.6</v>
      </c>
      <c r="AA18" s="7">
        <v>4653.8999999999996</v>
      </c>
      <c r="AB18" s="7">
        <v>4882</v>
      </c>
      <c r="AC18" s="7">
        <v>7776.9</v>
      </c>
      <c r="AD18" s="7">
        <v>7419.8</v>
      </c>
      <c r="AE18" s="7">
        <v>7393.3</v>
      </c>
      <c r="AF18" s="7"/>
      <c r="AG18" s="1"/>
      <c r="AH18" s="1"/>
      <c r="AI18" s="1"/>
    </row>
    <row r="19" spans="1:35" x14ac:dyDescent="0.3">
      <c r="A19" s="103"/>
      <c r="B19" s="14">
        <v>18</v>
      </c>
      <c r="C19" s="1" t="s">
        <v>21</v>
      </c>
      <c r="D19" s="3"/>
      <c r="E19" s="3"/>
      <c r="F19" s="3"/>
      <c r="G19" s="3"/>
      <c r="H19" s="3">
        <v>1032.6099999999999</v>
      </c>
      <c r="I19" s="3">
        <v>1493.1279999999999</v>
      </c>
      <c r="J19" s="3">
        <v>1513.1949999999999</v>
      </c>
      <c r="K19" s="3">
        <v>1311.8969999999999</v>
      </c>
      <c r="L19" s="3">
        <v>1164.357</v>
      </c>
      <c r="M19" s="3">
        <v>1028.876</v>
      </c>
      <c r="N19" s="3">
        <v>1117.502</v>
      </c>
      <c r="O19" s="3">
        <v>1011.208</v>
      </c>
      <c r="P19" s="3">
        <v>1164.1089999999999</v>
      </c>
      <c r="Q19" s="3">
        <v>1445.7139999999999</v>
      </c>
      <c r="R19" s="3">
        <v>1926.646</v>
      </c>
      <c r="S19" s="3">
        <v>1836.1659999999999</v>
      </c>
      <c r="T19" s="3">
        <v>2224.77</v>
      </c>
      <c r="U19" s="3">
        <v>2475.6439999999998</v>
      </c>
      <c r="V19" s="3">
        <v>2471.9459999999999</v>
      </c>
      <c r="W19" s="3">
        <v>2883.8470000000002</v>
      </c>
      <c r="X19" s="3">
        <v>2973.1579999999999</v>
      </c>
      <c r="Y19" s="3">
        <v>3022.8789999999999</v>
      </c>
      <c r="Z19" s="3">
        <v>3436.069</v>
      </c>
      <c r="AA19" s="3">
        <v>4022.712</v>
      </c>
      <c r="AB19" s="3">
        <v>4187.2</v>
      </c>
      <c r="AC19" s="3">
        <v>5046</v>
      </c>
      <c r="AD19" s="3">
        <v>4740.8999999999996</v>
      </c>
      <c r="AE19" s="3">
        <v>4717.3999999999996</v>
      </c>
      <c r="AF19" s="3"/>
      <c r="AG19" s="1"/>
      <c r="AH19" s="1"/>
      <c r="AI19" s="1"/>
    </row>
    <row r="20" spans="1:35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>
        <v>625.19320000000005</v>
      </c>
      <c r="I20" s="7">
        <v>768.27200000000005</v>
      </c>
      <c r="J20" s="7">
        <v>713.51900000000001</v>
      </c>
      <c r="K20" s="7">
        <v>684.4</v>
      </c>
      <c r="L20" s="7">
        <v>487.82499999999999</v>
      </c>
      <c r="M20" s="7">
        <v>457.91</v>
      </c>
      <c r="N20" s="7">
        <v>494.565</v>
      </c>
      <c r="O20" s="7">
        <v>606.03399999999999</v>
      </c>
      <c r="P20" s="7">
        <v>628.91</v>
      </c>
      <c r="Q20" s="7">
        <v>760.101</v>
      </c>
      <c r="R20" s="7">
        <v>821.322</v>
      </c>
      <c r="S20" s="7">
        <v>772.62199999999996</v>
      </c>
      <c r="T20" s="7">
        <v>903.43299999999999</v>
      </c>
      <c r="U20" s="7">
        <v>1147.451</v>
      </c>
      <c r="V20" s="7">
        <v>1129.4570000000001</v>
      </c>
      <c r="W20" s="7">
        <v>1241.367</v>
      </c>
      <c r="X20" s="7">
        <v>1320.971</v>
      </c>
      <c r="Y20" s="7">
        <v>1359.212</v>
      </c>
      <c r="Z20" s="7">
        <v>1677.7550000000001</v>
      </c>
      <c r="AA20" s="7">
        <v>1921.617</v>
      </c>
      <c r="AB20" s="7">
        <v>1961.2</v>
      </c>
      <c r="AC20" s="7">
        <v>2409.6999999999998</v>
      </c>
      <c r="AD20" s="7">
        <v>2434.1999999999998</v>
      </c>
      <c r="AE20" s="7">
        <v>2557.8000000000002</v>
      </c>
      <c r="AF20" s="7"/>
      <c r="AG20" s="1"/>
      <c r="AH20" s="1"/>
      <c r="AI20" s="1"/>
    </row>
    <row r="21" spans="1:35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>
        <v>356.40300000000002</v>
      </c>
      <c r="I21" s="3">
        <v>438.11</v>
      </c>
      <c r="J21" s="3">
        <v>418.221</v>
      </c>
      <c r="K21" s="3">
        <v>333.952</v>
      </c>
      <c r="L21" s="3">
        <v>251.667</v>
      </c>
      <c r="M21" s="3">
        <v>197.453</v>
      </c>
      <c r="N21" s="3">
        <v>208.20699999999999</v>
      </c>
      <c r="O21" s="3">
        <v>240.57</v>
      </c>
      <c r="P21" s="3">
        <v>255.941</v>
      </c>
      <c r="Q21" s="3">
        <v>308.57100000000003</v>
      </c>
      <c r="R21" s="3">
        <v>385.65300000000002</v>
      </c>
      <c r="S21" s="3">
        <v>334.47800000000001</v>
      </c>
      <c r="T21" s="3">
        <v>368.71100000000001</v>
      </c>
      <c r="U21" s="3">
        <v>388.262</v>
      </c>
      <c r="V21" s="3">
        <v>474.05599999999998</v>
      </c>
      <c r="W21" s="3">
        <v>574.99199999999996</v>
      </c>
      <c r="X21" s="3">
        <v>572.00400000000002</v>
      </c>
      <c r="Y21" s="3">
        <v>638.33900000000006</v>
      </c>
      <c r="Z21" s="3">
        <v>718.61800000000005</v>
      </c>
      <c r="AA21" s="3">
        <v>847.1</v>
      </c>
      <c r="AB21" s="3">
        <v>974.4</v>
      </c>
      <c r="AC21" s="3">
        <v>1044.2</v>
      </c>
      <c r="AD21" s="3">
        <v>978.7</v>
      </c>
      <c r="AE21" s="3">
        <v>961.5</v>
      </c>
      <c r="AF21" s="3"/>
      <c r="AG21" s="1"/>
      <c r="AH21" s="1"/>
      <c r="AI21" s="1"/>
    </row>
    <row r="22" spans="1:35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>
        <v>211.57264000000001</v>
      </c>
      <c r="I22" s="7">
        <v>240.03800000000001</v>
      </c>
      <c r="J22" s="7">
        <v>210.363</v>
      </c>
      <c r="K22" s="7">
        <v>235.13</v>
      </c>
      <c r="L22" s="7">
        <v>105.922</v>
      </c>
      <c r="M22" s="7">
        <v>110.58199999999999</v>
      </c>
      <c r="N22" s="7">
        <v>113.398</v>
      </c>
      <c r="O22" s="7">
        <v>132.27799999999999</v>
      </c>
      <c r="P22" s="7">
        <v>150.36000000000001</v>
      </c>
      <c r="Q22" s="7">
        <v>153.626</v>
      </c>
      <c r="R22" s="7">
        <v>172.76400000000001</v>
      </c>
      <c r="S22" s="7">
        <v>190.79300000000001</v>
      </c>
      <c r="T22" s="7">
        <v>181.84800000000001</v>
      </c>
      <c r="U22" s="7">
        <v>195.2</v>
      </c>
      <c r="V22" s="7">
        <v>232.67699999999999</v>
      </c>
      <c r="W22" s="7">
        <v>241.249</v>
      </c>
      <c r="X22" s="7">
        <v>313.46300000000002</v>
      </c>
      <c r="Y22" s="7">
        <v>177.8</v>
      </c>
      <c r="Z22" s="7">
        <v>206.6</v>
      </c>
      <c r="AA22" s="7">
        <v>249.5</v>
      </c>
      <c r="AB22" s="7">
        <v>299.2</v>
      </c>
      <c r="AC22" s="7">
        <v>292.7</v>
      </c>
      <c r="AD22" s="7">
        <v>267.8</v>
      </c>
      <c r="AE22" s="7">
        <v>244.4</v>
      </c>
      <c r="AF22" s="7"/>
      <c r="AG22" s="1"/>
      <c r="AH22" s="1"/>
      <c r="AI22" s="1"/>
    </row>
    <row r="23" spans="1:35" x14ac:dyDescent="0.3">
      <c r="A23" s="103"/>
      <c r="B23" s="14">
        <v>16</v>
      </c>
      <c r="C23" s="1" t="s">
        <v>20</v>
      </c>
      <c r="D23" s="3"/>
      <c r="E23" s="3"/>
      <c r="F23" s="3"/>
      <c r="G23" s="3"/>
      <c r="H23" s="3">
        <v>391.3329</v>
      </c>
      <c r="I23" s="3">
        <v>389.15899999999999</v>
      </c>
      <c r="J23" s="3">
        <v>283.91300000000001</v>
      </c>
      <c r="K23" s="3">
        <v>192.125</v>
      </c>
      <c r="L23" s="3">
        <v>46.220999999999997</v>
      </c>
      <c r="M23" s="3">
        <v>76.691999999999993</v>
      </c>
      <c r="N23" s="3">
        <v>569.21</v>
      </c>
      <c r="O23" s="3">
        <v>670.56500000000005</v>
      </c>
      <c r="P23" s="3">
        <v>767.28099999999995</v>
      </c>
      <c r="Q23" s="3">
        <v>864.20500000000004</v>
      </c>
      <c r="R23" s="3">
        <v>931.125</v>
      </c>
      <c r="S23" s="3">
        <v>1065.694</v>
      </c>
      <c r="T23" s="3">
        <v>1131.8119999999999</v>
      </c>
      <c r="U23" s="3">
        <v>1421.6849999999999</v>
      </c>
      <c r="V23" s="3">
        <v>1501.9259999999999</v>
      </c>
      <c r="W23" s="3">
        <v>1649.2619999999999</v>
      </c>
      <c r="X23" s="3">
        <v>1638.691</v>
      </c>
      <c r="Y23" s="3">
        <v>1341.7</v>
      </c>
      <c r="Z23" s="3">
        <v>1738</v>
      </c>
      <c r="AA23" s="3">
        <v>1787.9</v>
      </c>
      <c r="AB23" s="3">
        <v>1777.9</v>
      </c>
      <c r="AC23" s="3">
        <v>1975</v>
      </c>
      <c r="AD23" s="3">
        <v>2008.1</v>
      </c>
      <c r="AE23" s="3">
        <v>2135.6999999999998</v>
      </c>
      <c r="AF23" s="3"/>
      <c r="AG23" s="1"/>
      <c r="AH23" s="1"/>
      <c r="AI23" s="1"/>
    </row>
    <row r="25" spans="1:35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  <c r="AG25" s="8" t="s">
        <v>116</v>
      </c>
      <c r="AH25" s="8" t="s">
        <v>117</v>
      </c>
      <c r="AI25" s="97" t="s">
        <v>118</v>
      </c>
    </row>
    <row r="26" spans="1:35" x14ac:dyDescent="0.3">
      <c r="A26" s="6" t="s">
        <v>65</v>
      </c>
      <c r="B26" s="17" t="s">
        <v>27</v>
      </c>
      <c r="C26" s="6" t="s">
        <v>85</v>
      </c>
      <c r="D26" s="7">
        <f t="shared" ref="D26:AB26" si="0">D4*D5</f>
        <v>425.01000000000005</v>
      </c>
      <c r="E26" s="7">
        <f t="shared" si="0"/>
        <v>528.95999999999992</v>
      </c>
      <c r="F26" s="7">
        <f t="shared" si="0"/>
        <v>1042.9099999999999</v>
      </c>
      <c r="G26" s="7">
        <f t="shared" si="0"/>
        <v>1940.56</v>
      </c>
      <c r="H26" s="7">
        <f t="shared" si="0"/>
        <v>3135.3999999999996</v>
      </c>
      <c r="I26" s="7">
        <f t="shared" si="0"/>
        <v>2362.0499999999997</v>
      </c>
      <c r="J26" s="7">
        <f t="shared" si="0"/>
        <v>1009.56</v>
      </c>
      <c r="K26" s="7">
        <f t="shared" si="0"/>
        <v>856.36</v>
      </c>
      <c r="L26" s="7">
        <f t="shared" si="0"/>
        <v>644.98</v>
      </c>
      <c r="M26" s="7">
        <f t="shared" si="0"/>
        <v>970.18000000000006</v>
      </c>
      <c r="N26" s="7">
        <f t="shared" si="0"/>
        <v>1180.6399999999999</v>
      </c>
      <c r="O26" s="7">
        <f t="shared" si="0"/>
        <v>1544.8799999999999</v>
      </c>
      <c r="P26" s="7">
        <f t="shared" si="0"/>
        <v>2072.4</v>
      </c>
      <c r="Q26" s="7">
        <f t="shared" si="0"/>
        <v>3284.44</v>
      </c>
      <c r="R26" s="7">
        <f t="shared" si="0"/>
        <v>2417.8000000000002</v>
      </c>
      <c r="S26" s="7">
        <f t="shared" si="0"/>
        <v>4251.5599999999995</v>
      </c>
      <c r="T26" s="7">
        <f t="shared" si="0"/>
        <v>6939.4000000000005</v>
      </c>
      <c r="U26" s="7">
        <f t="shared" si="0"/>
        <v>7787.2</v>
      </c>
      <c r="V26" s="7">
        <f t="shared" si="0"/>
        <v>8886.2000000000007</v>
      </c>
      <c r="W26" s="7">
        <f t="shared" si="0"/>
        <v>8653.84</v>
      </c>
      <c r="X26" s="7">
        <f t="shared" si="0"/>
        <v>5074.24</v>
      </c>
      <c r="Y26" s="7">
        <f t="shared" si="0"/>
        <v>7536</v>
      </c>
      <c r="Z26" s="7">
        <f t="shared" si="0"/>
        <v>9263.1204027999993</v>
      </c>
      <c r="AA26" s="7">
        <f t="shared" si="0"/>
        <v>10173.6</v>
      </c>
      <c r="AB26" s="7">
        <f t="shared" si="0"/>
        <v>6498.1730000000007</v>
      </c>
      <c r="AC26" s="7">
        <f t="shared" ref="AC26:AI26" si="1">AC4*AC5</f>
        <v>9227.9512500000001</v>
      </c>
      <c r="AD26" s="7">
        <f t="shared" si="1"/>
        <v>8696.2350000000006</v>
      </c>
      <c r="AE26" s="7">
        <f t="shared" si="1"/>
        <v>12632.85</v>
      </c>
      <c r="AF26" s="7">
        <f t="shared" si="1"/>
        <v>12334.3125</v>
      </c>
      <c r="AG26" s="7">
        <f t="shared" si="1"/>
        <v>12334.3125</v>
      </c>
      <c r="AH26" s="7">
        <f t="shared" si="1"/>
        <v>12334.3125</v>
      </c>
      <c r="AI26" s="7">
        <f t="shared" si="1"/>
        <v>12334.3125</v>
      </c>
    </row>
    <row r="27" spans="1:35" x14ac:dyDescent="0.3">
      <c r="A27" s="1" t="s">
        <v>66</v>
      </c>
      <c r="B27" s="2" t="s">
        <v>28</v>
      </c>
      <c r="C27" s="1" t="s">
        <v>47</v>
      </c>
      <c r="D27" s="30">
        <f t="shared" ref="D27:AB27" si="2">D26/D6</f>
        <v>0.39316373728029608</v>
      </c>
      <c r="E27" s="30">
        <f t="shared" si="2"/>
        <v>0.37648398576512448</v>
      </c>
      <c r="F27" s="30">
        <f t="shared" si="2"/>
        <v>0.58100835654596095</v>
      </c>
      <c r="G27" s="30">
        <f t="shared" si="2"/>
        <v>0.92983229516051746</v>
      </c>
      <c r="H27" s="30">
        <f t="shared" si="2"/>
        <v>1.0482781678368438</v>
      </c>
      <c r="I27" s="30">
        <f t="shared" si="2"/>
        <v>0.72013719512195118</v>
      </c>
      <c r="J27" s="30">
        <f t="shared" si="2"/>
        <v>0.25786973180076628</v>
      </c>
      <c r="K27" s="30">
        <f t="shared" si="2"/>
        <v>0.2038952380952381</v>
      </c>
      <c r="L27" s="30">
        <f t="shared" si="2"/>
        <v>0.16571942446043167</v>
      </c>
      <c r="M27" s="30">
        <f t="shared" si="2"/>
        <v>0.28392742171495466</v>
      </c>
      <c r="N27" s="30">
        <f t="shared" si="2"/>
        <v>0.33780829756795416</v>
      </c>
      <c r="O27" s="30">
        <f t="shared" si="2"/>
        <v>0.40357366771159869</v>
      </c>
      <c r="P27" s="30">
        <f t="shared" si="2"/>
        <v>0.47025187202178353</v>
      </c>
      <c r="Q27" s="30">
        <f t="shared" si="2"/>
        <v>0.61391401869158879</v>
      </c>
      <c r="R27" s="30">
        <f t="shared" si="2"/>
        <v>0.35091436865021775</v>
      </c>
      <c r="S27" s="30">
        <f t="shared" si="2"/>
        <v>0.5810444028371895</v>
      </c>
      <c r="T27" s="30">
        <f t="shared" si="2"/>
        <v>0.79845817512369122</v>
      </c>
      <c r="U27" s="30">
        <f t="shared" si="2"/>
        <v>0.79154299654401294</v>
      </c>
      <c r="V27" s="30">
        <f t="shared" si="2"/>
        <v>0.83180754469718254</v>
      </c>
      <c r="W27" s="30">
        <f t="shared" si="2"/>
        <v>0.73157832445684334</v>
      </c>
      <c r="X27" s="30">
        <f t="shared" si="2"/>
        <v>0.40017665615141956</v>
      </c>
      <c r="Y27" s="30">
        <f t="shared" si="2"/>
        <v>0.54895104895104896</v>
      </c>
      <c r="Z27" s="30">
        <f t="shared" si="2"/>
        <v>0.63350570392559158</v>
      </c>
      <c r="AA27" s="30">
        <f t="shared" si="2"/>
        <v>0.62506758417301556</v>
      </c>
      <c r="AB27" s="30">
        <f t="shared" si="2"/>
        <v>0.37481530830016729</v>
      </c>
      <c r="AC27" s="30">
        <f t="shared" ref="AC27:AI27" si="3">AC26/AC6</f>
        <v>0.49511488625388989</v>
      </c>
      <c r="AD27" s="30">
        <f t="shared" si="3"/>
        <v>0.45074560721505214</v>
      </c>
      <c r="AE27" s="30">
        <f t="shared" si="3"/>
        <v>0.60688172559569564</v>
      </c>
      <c r="AF27" s="30">
        <f t="shared" si="3"/>
        <v>0.55039323962516729</v>
      </c>
      <c r="AG27" s="30">
        <f t="shared" si="3"/>
        <v>0.51599366214859432</v>
      </c>
      <c r="AH27" s="30">
        <f t="shared" si="3"/>
        <v>0.48324371180065823</v>
      </c>
      <c r="AI27" s="30">
        <f t="shared" si="3"/>
        <v>0.45763997105966164</v>
      </c>
    </row>
    <row r="28" spans="1:35" x14ac:dyDescent="0.3">
      <c r="A28" s="6" t="s">
        <v>67</v>
      </c>
      <c r="B28" s="17" t="s">
        <v>29</v>
      </c>
      <c r="C28" s="6" t="s">
        <v>48</v>
      </c>
      <c r="D28" s="29" t="e">
        <f t="shared" ref="D28:AB28" si="4">D26/D7</f>
        <v>#DIV/0!</v>
      </c>
      <c r="E28" s="29" t="e">
        <f t="shared" si="4"/>
        <v>#DIV/0!</v>
      </c>
      <c r="F28" s="29" t="e">
        <f t="shared" si="4"/>
        <v>#DIV/0!</v>
      </c>
      <c r="G28" s="29" t="e">
        <f t="shared" si="4"/>
        <v>#DIV/0!</v>
      </c>
      <c r="H28" s="29">
        <f t="shared" si="4"/>
        <v>12.586912886391007</v>
      </c>
      <c r="I28" s="29">
        <f t="shared" si="4"/>
        <v>8.4826382529439002</v>
      </c>
      <c r="J28" s="29">
        <f t="shared" si="4"/>
        <v>5.2005398555577305</v>
      </c>
      <c r="K28" s="29">
        <f t="shared" si="4"/>
        <v>3.2936923076923077</v>
      </c>
      <c r="L28" s="29">
        <f t="shared" si="4"/>
        <v>2.4431060606060608</v>
      </c>
      <c r="M28" s="29">
        <f t="shared" si="4"/>
        <v>3.3454482758620694</v>
      </c>
      <c r="N28" s="29">
        <f t="shared" si="4"/>
        <v>3.8709508196721307</v>
      </c>
      <c r="O28" s="29">
        <f t="shared" si="4"/>
        <v>5.0158441558441558</v>
      </c>
      <c r="P28" s="29">
        <f t="shared" si="4"/>
        <v>6.50099440997296</v>
      </c>
      <c r="Q28" s="29">
        <f t="shared" si="4"/>
        <v>9.345929488091512</v>
      </c>
      <c r="R28" s="29">
        <f t="shared" si="4"/>
        <v>5.1119088998549609</v>
      </c>
      <c r="S28" s="29">
        <f t="shared" si="4"/>
        <v>8.0514650183316654</v>
      </c>
      <c r="T28" s="29">
        <f t="shared" si="4"/>
        <v>11.120833333333334</v>
      </c>
      <c r="U28" s="29">
        <f t="shared" si="4"/>
        <v>11.236940836940837</v>
      </c>
      <c r="V28" s="29">
        <f t="shared" si="4"/>
        <v>12.00837837837838</v>
      </c>
      <c r="W28" s="29">
        <f t="shared" si="4"/>
        <v>11.137503217503218</v>
      </c>
      <c r="X28" s="29">
        <f t="shared" si="4"/>
        <v>6.9225648021828103</v>
      </c>
      <c r="Y28" s="29">
        <f t="shared" si="4"/>
        <v>9.42</v>
      </c>
      <c r="Z28" s="29">
        <f t="shared" si="4"/>
        <v>10.746079353596286</v>
      </c>
      <c r="AA28" s="29">
        <f t="shared" si="4"/>
        <v>11.034273318872017</v>
      </c>
      <c r="AB28" s="29">
        <f t="shared" si="4"/>
        <v>6.7689302083333338</v>
      </c>
      <c r="AC28" s="29">
        <f t="shared" ref="AC28:AI28" si="5">AC26/AC7</f>
        <v>8.8305753588516751</v>
      </c>
      <c r="AD28" s="29">
        <f t="shared" si="5"/>
        <v>6.3337472687545526</v>
      </c>
      <c r="AE28" s="29">
        <f t="shared" si="5"/>
        <v>8.2084795321637429</v>
      </c>
      <c r="AF28" s="29">
        <f t="shared" si="5"/>
        <v>7.3287655971479504</v>
      </c>
      <c r="AG28" s="29">
        <f t="shared" si="5"/>
        <v>6.822075497787611</v>
      </c>
      <c r="AH28" s="29">
        <f t="shared" si="5"/>
        <v>6.1242862462760677</v>
      </c>
      <c r="AI28" s="29">
        <f t="shared" si="5"/>
        <v>5.785324812382739</v>
      </c>
    </row>
    <row r="29" spans="1:35" x14ac:dyDescent="0.3">
      <c r="A29" s="15" t="s">
        <v>68</v>
      </c>
      <c r="B29" s="2" t="s">
        <v>30</v>
      </c>
      <c r="C29" s="1" t="s">
        <v>49</v>
      </c>
      <c r="D29" s="3">
        <f t="shared" ref="D29:AE29" si="6">D15-D14</f>
        <v>0</v>
      </c>
      <c r="E29" s="3">
        <f t="shared" si="6"/>
        <v>0</v>
      </c>
      <c r="F29" s="3">
        <f t="shared" si="6"/>
        <v>0</v>
      </c>
      <c r="G29" s="3">
        <f t="shared" si="6"/>
        <v>0</v>
      </c>
      <c r="H29" s="3">
        <f t="shared" si="6"/>
        <v>896.03899999999999</v>
      </c>
      <c r="I29" s="3">
        <f t="shared" si="6"/>
        <v>1187.5519999999999</v>
      </c>
      <c r="J29" s="3">
        <f t="shared" si="6"/>
        <v>1478.884</v>
      </c>
      <c r="K29" s="3">
        <f t="shared" si="6"/>
        <v>1152.617</v>
      </c>
      <c r="L29" s="3">
        <f t="shared" si="6"/>
        <v>808.39</v>
      </c>
      <c r="M29" s="3">
        <f t="shared" si="6"/>
        <v>711.31799999999998</v>
      </c>
      <c r="N29" s="3">
        <f t="shared" si="6"/>
        <v>611.10599999999999</v>
      </c>
      <c r="O29" s="3">
        <f t="shared" si="6"/>
        <v>519.96800000000007</v>
      </c>
      <c r="P29" s="3">
        <f t="shared" si="6"/>
        <v>504.702</v>
      </c>
      <c r="Q29" s="3">
        <f t="shared" si="6"/>
        <v>574.45699999999999</v>
      </c>
      <c r="R29" s="3">
        <f t="shared" si="6"/>
        <v>840.20899999999983</v>
      </c>
      <c r="S29" s="3">
        <f t="shared" si="6"/>
        <v>687.49200000000008</v>
      </c>
      <c r="T29" s="3">
        <f t="shared" si="6"/>
        <v>566.12099999999998</v>
      </c>
      <c r="U29" s="3">
        <f t="shared" si="6"/>
        <v>204</v>
      </c>
      <c r="V29" s="3">
        <v>321</v>
      </c>
      <c r="W29" s="3">
        <v>346</v>
      </c>
      <c r="X29" s="3">
        <f t="shared" si="6"/>
        <v>273</v>
      </c>
      <c r="Y29" s="3">
        <f t="shared" si="6"/>
        <v>186.89999999999998</v>
      </c>
      <c r="Z29" s="3">
        <f t="shared" si="6"/>
        <v>-102.69999999999999</v>
      </c>
      <c r="AA29" s="3">
        <f t="shared" si="6"/>
        <v>-106.20000000000005</v>
      </c>
      <c r="AB29" s="3">
        <f t="shared" si="6"/>
        <v>-42.099999999999909</v>
      </c>
      <c r="AC29" s="3">
        <f t="shared" si="6"/>
        <v>2187.3999999999996</v>
      </c>
      <c r="AD29" s="3">
        <f t="shared" si="6"/>
        <v>1753.8000000000002</v>
      </c>
      <c r="AE29" s="3">
        <f t="shared" si="6"/>
        <v>1618.8</v>
      </c>
      <c r="AF29" s="3">
        <f t="shared" ref="AF29" si="7">AF15-AF14</f>
        <v>0</v>
      </c>
      <c r="AG29" s="1"/>
      <c r="AH29" s="1"/>
      <c r="AI29" s="1"/>
    </row>
    <row r="30" spans="1:35" x14ac:dyDescent="0.3">
      <c r="A30" s="6" t="s">
        <v>69</v>
      </c>
      <c r="B30" s="17" t="s">
        <v>31</v>
      </c>
      <c r="C30" s="6" t="s">
        <v>50</v>
      </c>
      <c r="D30" s="7">
        <f t="shared" ref="D30:AE30" si="8">D26+D29+D16+D17</f>
        <v>425.01000000000005</v>
      </c>
      <c r="E30" s="7">
        <f t="shared" si="8"/>
        <v>528.95999999999992</v>
      </c>
      <c r="F30" s="7">
        <f t="shared" si="8"/>
        <v>1042.9099999999999</v>
      </c>
      <c r="G30" s="7">
        <f t="shared" si="8"/>
        <v>1940.56</v>
      </c>
      <c r="H30" s="7">
        <f t="shared" si="8"/>
        <v>4132.4389999999994</v>
      </c>
      <c r="I30" s="7">
        <f t="shared" si="8"/>
        <v>3673.6329999999998</v>
      </c>
      <c r="J30" s="7">
        <f t="shared" si="8"/>
        <v>2594.3359999999998</v>
      </c>
      <c r="K30" s="7">
        <f t="shared" si="8"/>
        <v>2096.4690000000001</v>
      </c>
      <c r="L30" s="7">
        <f t="shared" si="8"/>
        <v>1682.433</v>
      </c>
      <c r="M30" s="7">
        <f t="shared" si="8"/>
        <v>1886.5710000000001</v>
      </c>
      <c r="N30" s="7">
        <f t="shared" si="8"/>
        <v>2019.3269999999998</v>
      </c>
      <c r="O30" s="7">
        <f t="shared" si="8"/>
        <v>2315.6129999999998</v>
      </c>
      <c r="P30" s="7">
        <f t="shared" si="8"/>
        <v>2852.4929999999999</v>
      </c>
      <c r="Q30" s="7">
        <f t="shared" si="8"/>
        <v>4146.223</v>
      </c>
      <c r="R30" s="7">
        <f t="shared" si="8"/>
        <v>3539.3159999999998</v>
      </c>
      <c r="S30" s="7">
        <f t="shared" si="8"/>
        <v>5226.6880000000001</v>
      </c>
      <c r="T30" s="7">
        <f t="shared" si="8"/>
        <v>7792.2270000000008</v>
      </c>
      <c r="U30" s="7">
        <f t="shared" si="8"/>
        <v>8251.2000000000007</v>
      </c>
      <c r="V30" s="7">
        <f t="shared" si="8"/>
        <v>9458.2000000000007</v>
      </c>
      <c r="W30" s="7">
        <f t="shared" si="8"/>
        <v>9235.84</v>
      </c>
      <c r="X30" s="7">
        <f t="shared" si="8"/>
        <v>5590.24</v>
      </c>
      <c r="Y30" s="7">
        <f t="shared" si="8"/>
        <v>7974.4</v>
      </c>
      <c r="Z30" s="7">
        <f t="shared" si="8"/>
        <v>9412.9204027999986</v>
      </c>
      <c r="AA30" s="7">
        <f t="shared" si="8"/>
        <v>10292.699999999999</v>
      </c>
      <c r="AB30" s="7">
        <f t="shared" si="8"/>
        <v>6694.473</v>
      </c>
      <c r="AC30" s="7">
        <f t="shared" si="8"/>
        <v>11669.251249999999</v>
      </c>
      <c r="AD30" s="7">
        <f t="shared" si="8"/>
        <v>10699.135</v>
      </c>
      <c r="AE30" s="7">
        <f t="shared" si="8"/>
        <v>14501.55</v>
      </c>
      <c r="AF30" s="7"/>
      <c r="AG30" s="1"/>
      <c r="AH30" s="1"/>
      <c r="AI30" s="1"/>
    </row>
    <row r="31" spans="1:35" x14ac:dyDescent="0.3">
      <c r="A31" s="1" t="s">
        <v>70</v>
      </c>
      <c r="B31" s="2" t="s">
        <v>32</v>
      </c>
      <c r="C31" s="1" t="s">
        <v>51</v>
      </c>
      <c r="D31" s="30" t="e">
        <f t="shared" ref="D31:AE31" si="9">D30/D7</f>
        <v>#DIV/0!</v>
      </c>
      <c r="E31" s="30" t="e">
        <f t="shared" si="9"/>
        <v>#DIV/0!</v>
      </c>
      <c r="F31" s="30" t="e">
        <f t="shared" si="9"/>
        <v>#DIV/0!</v>
      </c>
      <c r="G31" s="30" t="e">
        <f t="shared" si="9"/>
        <v>#DIV/0!</v>
      </c>
      <c r="H31" s="30">
        <f t="shared" si="9"/>
        <v>16.58947812123645</v>
      </c>
      <c r="I31" s="30">
        <f t="shared" si="9"/>
        <v>13.192819717227435</v>
      </c>
      <c r="J31" s="30">
        <f t="shared" si="9"/>
        <v>13.364186147141545</v>
      </c>
      <c r="K31" s="30">
        <f t="shared" si="9"/>
        <v>8.0633423076923076</v>
      </c>
      <c r="L31" s="30">
        <f t="shared" si="9"/>
        <v>6.3728522727272727</v>
      </c>
      <c r="M31" s="30">
        <f t="shared" si="9"/>
        <v>6.5054172413793108</v>
      </c>
      <c r="N31" s="30">
        <f t="shared" si="9"/>
        <v>6.620744262295081</v>
      </c>
      <c r="O31" s="30">
        <f t="shared" si="9"/>
        <v>7.5182240259740256</v>
      </c>
      <c r="P31" s="30">
        <f t="shared" si="9"/>
        <v>8.9480993280674568</v>
      </c>
      <c r="Q31" s="30">
        <f t="shared" si="9"/>
        <v>11.798147568505819</v>
      </c>
      <c r="R31" s="30">
        <f t="shared" si="9"/>
        <v>7.4831090081061538</v>
      </c>
      <c r="S31" s="30">
        <f t="shared" si="9"/>
        <v>9.8981304729873045</v>
      </c>
      <c r="T31" s="30">
        <f t="shared" si="9"/>
        <v>12.48754326923077</v>
      </c>
      <c r="U31" s="30">
        <f t="shared" si="9"/>
        <v>11.906493506493508</v>
      </c>
      <c r="V31" s="30">
        <f t="shared" si="9"/>
        <v>12.781351351351352</v>
      </c>
      <c r="W31" s="30">
        <f t="shared" si="9"/>
        <v>11.886537966537967</v>
      </c>
      <c r="X31" s="30">
        <f t="shared" si="9"/>
        <v>7.6265211459754427</v>
      </c>
      <c r="Y31" s="30">
        <f t="shared" si="9"/>
        <v>9.968</v>
      </c>
      <c r="Z31" s="30">
        <f t="shared" si="9"/>
        <v>10.91986125614849</v>
      </c>
      <c r="AA31" s="30">
        <f t="shared" si="9"/>
        <v>11.163449023861171</v>
      </c>
      <c r="AB31" s="30">
        <f t="shared" si="9"/>
        <v>6.9734093750000001</v>
      </c>
      <c r="AC31" s="30">
        <f t="shared" si="9"/>
        <v>11.166747607655502</v>
      </c>
      <c r="AD31" s="30">
        <f t="shared" si="9"/>
        <v>7.7925236707938819</v>
      </c>
      <c r="AE31" s="30">
        <f t="shared" si="9"/>
        <v>9.4227095516569204</v>
      </c>
      <c r="AF31" s="30">
        <f t="shared" ref="AF31" si="10">AF30/AF7</f>
        <v>0</v>
      </c>
      <c r="AG31" s="1"/>
      <c r="AH31" s="1"/>
      <c r="AI31" s="1"/>
    </row>
    <row r="32" spans="1:35" x14ac:dyDescent="0.3">
      <c r="A32" s="18" t="s">
        <v>72</v>
      </c>
      <c r="B32" s="17" t="s">
        <v>33</v>
      </c>
      <c r="C32" s="6" t="s">
        <v>109</v>
      </c>
      <c r="D32" s="27">
        <f t="shared" ref="D32:AB32" si="11">D7/D6</f>
        <v>0</v>
      </c>
      <c r="E32" s="27">
        <f t="shared" si="11"/>
        <v>0</v>
      </c>
      <c r="F32" s="27">
        <f t="shared" si="11"/>
        <v>0</v>
      </c>
      <c r="G32" s="27">
        <f t="shared" si="11"/>
        <v>0</v>
      </c>
      <c r="H32" s="27">
        <f t="shared" si="11"/>
        <v>8.3283182881979265E-2</v>
      </c>
      <c r="I32" s="27">
        <f t="shared" si="11"/>
        <v>8.4895426829268289E-2</v>
      </c>
      <c r="J32" s="27">
        <f t="shared" si="11"/>
        <v>4.9585185185185184E-2</v>
      </c>
      <c r="K32" s="27">
        <f t="shared" si="11"/>
        <v>6.1904761904761907E-2</v>
      </c>
      <c r="L32" s="27">
        <f t="shared" si="11"/>
        <v>6.783144912641316E-2</v>
      </c>
      <c r="M32" s="27">
        <f t="shared" si="11"/>
        <v>8.4869768803043602E-2</v>
      </c>
      <c r="N32" s="27">
        <f t="shared" si="11"/>
        <v>8.7267525035765375E-2</v>
      </c>
      <c r="O32" s="27">
        <f t="shared" si="11"/>
        <v>8.0459770114942528E-2</v>
      </c>
      <c r="P32" s="27">
        <f t="shared" si="11"/>
        <v>7.2335375538915364E-2</v>
      </c>
      <c r="Q32" s="27">
        <f t="shared" si="11"/>
        <v>6.5687850467289727E-2</v>
      </c>
      <c r="R32" s="27">
        <f t="shared" si="11"/>
        <v>6.8646444121915812E-2</v>
      </c>
      <c r="S32" s="27">
        <f t="shared" si="11"/>
        <v>7.2166295390250226E-2</v>
      </c>
      <c r="T32" s="27">
        <f t="shared" si="11"/>
        <v>7.1798412150500521E-2</v>
      </c>
      <c r="U32" s="27">
        <f t="shared" si="11"/>
        <v>7.0441146574507008E-2</v>
      </c>
      <c r="V32" s="27">
        <f t="shared" si="11"/>
        <v>6.9268931947954693E-2</v>
      </c>
      <c r="W32" s="27">
        <f t="shared" si="11"/>
        <v>6.5686025868627942E-2</v>
      </c>
      <c r="X32" s="27">
        <f t="shared" si="11"/>
        <v>5.7807570977917978E-2</v>
      </c>
      <c r="Y32" s="27">
        <f t="shared" si="11"/>
        <v>5.8275058275058272E-2</v>
      </c>
      <c r="Z32" s="27">
        <f t="shared" si="11"/>
        <v>5.8952263712214473E-2</v>
      </c>
      <c r="AA32" s="27">
        <f t="shared" si="11"/>
        <v>5.6647825018432046E-2</v>
      </c>
      <c r="AB32" s="27">
        <f t="shared" si="11"/>
        <v>5.537290188613947E-2</v>
      </c>
      <c r="AC32" s="27">
        <f t="shared" ref="AC32:AE32" si="12">AC7/AC6</f>
        <v>5.6068247666058592E-2</v>
      </c>
      <c r="AD32" s="27">
        <f t="shared" si="12"/>
        <v>7.1165707769657388E-2</v>
      </c>
      <c r="AE32" s="27">
        <f t="shared" si="12"/>
        <v>7.3933512682551883E-2</v>
      </c>
      <c r="AF32" s="27">
        <f t="shared" ref="AF32:AI32" si="13">AF7/AF6</f>
        <v>7.5100401606425699E-2</v>
      </c>
      <c r="AG32" s="27">
        <f t="shared" si="13"/>
        <v>7.5635876840696115E-2</v>
      </c>
      <c r="AH32" s="27">
        <f t="shared" si="13"/>
        <v>7.8906127566212195E-2</v>
      </c>
      <c r="AI32" s="27">
        <f t="shared" si="13"/>
        <v>7.9103591570198875E-2</v>
      </c>
    </row>
    <row r="33" spans="1:35" x14ac:dyDescent="0.3">
      <c r="A33" s="16" t="s">
        <v>73</v>
      </c>
      <c r="B33" s="2" t="s">
        <v>34</v>
      </c>
      <c r="C33" s="1" t="s">
        <v>110</v>
      </c>
      <c r="D33" s="28">
        <f t="shared" ref="D33:AB33" si="14">D8/D6</f>
        <v>0</v>
      </c>
      <c r="E33" s="28">
        <f t="shared" si="14"/>
        <v>0</v>
      </c>
      <c r="F33" s="28">
        <f t="shared" si="14"/>
        <v>0</v>
      </c>
      <c r="G33" s="28">
        <f t="shared" si="14"/>
        <v>0</v>
      </c>
      <c r="H33" s="28">
        <f t="shared" si="14"/>
        <v>4.6768973587428951E-2</v>
      </c>
      <c r="I33" s="28">
        <f t="shared" si="14"/>
        <v>4.4899390243902444E-2</v>
      </c>
      <c r="J33" s="28">
        <f t="shared" si="14"/>
        <v>1.0315964240102171E-2</v>
      </c>
      <c r="K33" s="28">
        <f t="shared" si="14"/>
        <v>2.0238095238095239E-2</v>
      </c>
      <c r="L33" s="28">
        <f t="shared" si="14"/>
        <v>2.9547790339157245E-2</v>
      </c>
      <c r="M33" s="28">
        <f t="shared" si="14"/>
        <v>4.8287971905179985E-2</v>
      </c>
      <c r="N33" s="28">
        <f t="shared" si="14"/>
        <v>5.951359084406295E-2</v>
      </c>
      <c r="O33" s="28">
        <f t="shared" si="14"/>
        <v>5.459770114942529E-2</v>
      </c>
      <c r="P33" s="28">
        <f t="shared" si="14"/>
        <v>4.804946675743136E-2</v>
      </c>
      <c r="Q33" s="28">
        <f t="shared" si="14"/>
        <v>4.2001495327102803E-2</v>
      </c>
      <c r="R33" s="28">
        <f t="shared" si="14"/>
        <v>4.5775181422351235E-2</v>
      </c>
      <c r="S33" s="28">
        <f t="shared" si="14"/>
        <v>4.9163739732954306E-2</v>
      </c>
      <c r="T33" s="28">
        <f t="shared" si="14"/>
        <v>4.9936716143136578E-2</v>
      </c>
      <c r="U33" s="28">
        <f t="shared" si="14"/>
        <v>4.950193128684692E-2</v>
      </c>
      <c r="V33" s="28">
        <f t="shared" si="14"/>
        <v>4.8488252363568289E-2</v>
      </c>
      <c r="W33" s="28">
        <f t="shared" si="14"/>
        <v>4.4636063910727872E-2</v>
      </c>
      <c r="X33" s="28">
        <f t="shared" si="14"/>
        <v>3.60410094637224E-2</v>
      </c>
      <c r="Y33" s="28">
        <f t="shared" si="14"/>
        <v>3.6786130536130536E-2</v>
      </c>
      <c r="Z33" s="28">
        <f t="shared" si="14"/>
        <v>3.8845575160716725E-2</v>
      </c>
      <c r="AA33" s="28">
        <f t="shared" si="14"/>
        <v>3.6311132956500368E-2</v>
      </c>
      <c r="AB33" s="28">
        <f t="shared" si="14"/>
        <v>3.437734325431159E-2</v>
      </c>
      <c r="AC33" s="28">
        <f t="shared" ref="AC33:AE33" si="15">AC8/AC6</f>
        <v>3.4767678935508105E-2</v>
      </c>
      <c r="AD33" s="28">
        <f t="shared" si="15"/>
        <v>3.3115119473384129E-2</v>
      </c>
      <c r="AE33" s="28">
        <f t="shared" si="15"/>
        <v>3.8998366641045348E-2</v>
      </c>
      <c r="AF33" s="28">
        <f t="shared" ref="AF33:AI33" si="16">AF8/AF6</f>
        <v>4.059839357429719E-2</v>
      </c>
      <c r="AG33" s="28">
        <f t="shared" si="16"/>
        <v>4.1510207496653281E-2</v>
      </c>
      <c r="AH33" s="28">
        <f t="shared" si="16"/>
        <v>4.2430653502585805E-2</v>
      </c>
      <c r="AI33" s="28">
        <f t="shared" si="16"/>
        <v>4.2891065598100325E-2</v>
      </c>
    </row>
    <row r="34" spans="1:35" x14ac:dyDescent="0.3">
      <c r="A34" s="18" t="s">
        <v>74</v>
      </c>
      <c r="B34" s="17" t="s">
        <v>35</v>
      </c>
      <c r="C34" s="6" t="s">
        <v>54</v>
      </c>
      <c r="D34" s="27" t="e">
        <f t="shared" ref="D34:AB34" si="17">D11/D10</f>
        <v>#DIV/0!</v>
      </c>
      <c r="E34" s="27" t="e">
        <f t="shared" si="17"/>
        <v>#DIV/0!</v>
      </c>
      <c r="F34" s="27" t="e">
        <f t="shared" si="17"/>
        <v>#DIV/0!</v>
      </c>
      <c r="G34" s="27" t="e">
        <f t="shared" si="17"/>
        <v>#DIV/0!</v>
      </c>
      <c r="H34" s="27">
        <f t="shared" si="17"/>
        <v>0.15732133933033479</v>
      </c>
      <c r="I34" s="27">
        <f t="shared" si="17"/>
        <v>0.17930685270620009</v>
      </c>
      <c r="J34" s="27">
        <f t="shared" si="17"/>
        <v>-0.30871047737135771</v>
      </c>
      <c r="K34" s="27">
        <f t="shared" si="17"/>
        <v>-0.52631578947368418</v>
      </c>
      <c r="L34" s="27">
        <f t="shared" si="17"/>
        <v>-0.11560693641618497</v>
      </c>
      <c r="M34" s="27">
        <f t="shared" si="17"/>
        <v>0.17475728155339806</v>
      </c>
      <c r="N34" s="27">
        <f t="shared" si="17"/>
        <v>0.10666666666666667</v>
      </c>
      <c r="O34" s="27">
        <f t="shared" si="17"/>
        <v>9.3567251461988299E-2</v>
      </c>
      <c r="P34" s="27">
        <f t="shared" si="17"/>
        <v>0.20302927880349825</v>
      </c>
      <c r="Q34" s="27">
        <f t="shared" si="17"/>
        <v>0.19629219347485702</v>
      </c>
      <c r="R34" s="27">
        <f t="shared" si="17"/>
        <v>0.2076934505720113</v>
      </c>
      <c r="S34" s="27">
        <f t="shared" si="17"/>
        <v>0.19944709581879658</v>
      </c>
      <c r="T34" s="27">
        <f t="shared" si="17"/>
        <v>0.20844327176781002</v>
      </c>
      <c r="U34" s="27">
        <f t="shared" si="17"/>
        <v>0.22894168466522677</v>
      </c>
      <c r="V34" s="27">
        <f t="shared" si="17"/>
        <v>0.2401656314699793</v>
      </c>
      <c r="W34" s="27">
        <f t="shared" si="17"/>
        <v>0.22067594433399601</v>
      </c>
      <c r="X34" s="27">
        <f t="shared" si="17"/>
        <v>0.24242424242424243</v>
      </c>
      <c r="Y34" s="27">
        <f t="shared" si="17"/>
        <v>0.24631578947368421</v>
      </c>
      <c r="Z34" s="27">
        <f t="shared" si="17"/>
        <v>0.25390625</v>
      </c>
      <c r="AA34" s="27">
        <f t="shared" si="17"/>
        <v>0.26911228355936401</v>
      </c>
      <c r="AB34" s="27">
        <f t="shared" si="17"/>
        <v>0.23483864077324271</v>
      </c>
      <c r="AC34" s="27">
        <f t="shared" ref="AC34:AE34" si="18">AC11/AC10</f>
        <v>0.23389108388106986</v>
      </c>
      <c r="AD34" s="27">
        <f t="shared" si="18"/>
        <v>0.29651593773165308</v>
      </c>
      <c r="AE34" s="27">
        <f t="shared" si="18"/>
        <v>0.25905360840555253</v>
      </c>
      <c r="AF34" s="27">
        <f t="shared" ref="AF34:AI34" si="19">AF11/AF10</f>
        <v>0.25327828721898032</v>
      </c>
      <c r="AG34" s="27">
        <f t="shared" si="19"/>
        <v>0.25869528230804756</v>
      </c>
      <c r="AH34" s="27">
        <f t="shared" si="19"/>
        <v>0.32568550643536653</v>
      </c>
      <c r="AI34" s="27">
        <f t="shared" si="19"/>
        <v>0.32736842105263159</v>
      </c>
    </row>
    <row r="35" spans="1:35" x14ac:dyDescent="0.3">
      <c r="A35" s="16" t="s">
        <v>75</v>
      </c>
      <c r="B35" s="2" t="s">
        <v>36</v>
      </c>
      <c r="C35" s="1" t="s">
        <v>108</v>
      </c>
      <c r="D35" s="28">
        <f t="shared" ref="D35:AB35" si="20">D12/D6</f>
        <v>2.0351526364477335E-2</v>
      </c>
      <c r="E35" s="28">
        <f t="shared" si="20"/>
        <v>1.99288256227758E-2</v>
      </c>
      <c r="F35" s="28">
        <f t="shared" si="20"/>
        <v>1.9498607242339833E-2</v>
      </c>
      <c r="G35" s="28">
        <f t="shared" si="20"/>
        <v>2.1082894106372783E-2</v>
      </c>
      <c r="H35" s="28">
        <f t="shared" si="20"/>
        <v>2.8187897024406553E-2</v>
      </c>
      <c r="I35" s="28">
        <f t="shared" si="20"/>
        <v>2.223628048780488E-2</v>
      </c>
      <c r="J35" s="28">
        <f t="shared" si="20"/>
        <v>-1.5080715197956576E-2</v>
      </c>
      <c r="K35" s="28">
        <f t="shared" si="20"/>
        <v>-2.0714285714285713E-2</v>
      </c>
      <c r="L35" s="28">
        <f t="shared" si="20"/>
        <v>-5.2415210688591986E-2</v>
      </c>
      <c r="M35" s="28">
        <f t="shared" si="20"/>
        <v>1.6973953760608722E-2</v>
      </c>
      <c r="N35" s="28">
        <f t="shared" si="20"/>
        <v>2.6609442060085836E-2</v>
      </c>
      <c r="O35" s="28">
        <f t="shared" si="20"/>
        <v>2.8735632183908046E-2</v>
      </c>
      <c r="P35" s="28">
        <f t="shared" si="20"/>
        <v>2.6321760835035173E-2</v>
      </c>
      <c r="Q35" s="28">
        <f t="shared" si="20"/>
        <v>2.4485981308411214E-2</v>
      </c>
      <c r="R35" s="28">
        <f t="shared" si="20"/>
        <v>2.3657474600870827E-2</v>
      </c>
      <c r="S35" s="28">
        <f t="shared" si="20"/>
        <v>2.7374232961145811E-2</v>
      </c>
      <c r="T35" s="28">
        <f t="shared" si="20"/>
        <v>3.233229777931193E-2</v>
      </c>
      <c r="U35" s="28">
        <f t="shared" si="20"/>
        <v>3.455986989225452E-2</v>
      </c>
      <c r="V35" s="28">
        <f t="shared" si="20"/>
        <v>3.3698399326032011E-2</v>
      </c>
      <c r="W35" s="28">
        <f t="shared" si="20"/>
        <v>3.2293515935412971E-2</v>
      </c>
      <c r="X35" s="28">
        <f t="shared" si="20"/>
        <v>2.3817034700315456E-2</v>
      </c>
      <c r="Y35" s="28">
        <f t="shared" si="20"/>
        <v>2.4256993006993008E-2</v>
      </c>
      <c r="Z35" s="28">
        <f t="shared" si="20"/>
        <v>2.4688825058131584E-2</v>
      </c>
      <c r="AA35" s="28">
        <f t="shared" si="20"/>
        <v>2.3654460555419022E-2</v>
      </c>
      <c r="AB35" s="28">
        <f t="shared" si="20"/>
        <v>2.312972255868951E-2</v>
      </c>
      <c r="AC35" s="28">
        <f t="shared" ref="AC35:AE35" si="21">AC12/AC6</f>
        <v>2.3232106449189827E-2</v>
      </c>
      <c r="AD35" s="28">
        <f t="shared" si="21"/>
        <v>1.6178406675996477E-2</v>
      </c>
      <c r="AE35" s="28">
        <f t="shared" si="21"/>
        <v>2.237990007686395E-2</v>
      </c>
      <c r="AF35" s="28">
        <f t="shared" ref="AF35:AI35" si="22">AF12/AF6</f>
        <v>2.3980365908076749E-2</v>
      </c>
      <c r="AG35" s="28">
        <f t="shared" si="22"/>
        <v>2.4977827978580992E-2</v>
      </c>
      <c r="AH35" s="28">
        <f t="shared" si="22"/>
        <v>2.5596693308258894E-2</v>
      </c>
      <c r="AI35" s="28">
        <f t="shared" si="22"/>
        <v>2.5972098545562483E-2</v>
      </c>
    </row>
    <row r="36" spans="1:35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19.318636363636365</v>
      </c>
      <c r="E36" s="29">
        <f t="shared" ref="E36:AB36" si="23">IF(E26/E12&lt;0,0,E26/E12)</f>
        <v>18.89142857142857</v>
      </c>
      <c r="F36" s="29">
        <f t="shared" si="23"/>
        <v>29.797428571428568</v>
      </c>
      <c r="G36" s="29">
        <f t="shared" si="23"/>
        <v>44.103636363636362</v>
      </c>
      <c r="H36" s="29">
        <f t="shared" si="23"/>
        <v>37.188945558059537</v>
      </c>
      <c r="I36" s="29">
        <f t="shared" si="23"/>
        <v>32.385685884691846</v>
      </c>
      <c r="J36" s="29">
        <f t="shared" si="23"/>
        <v>0</v>
      </c>
      <c r="K36" s="29">
        <f t="shared" si="23"/>
        <v>0</v>
      </c>
      <c r="L36" s="29">
        <f t="shared" si="23"/>
        <v>0</v>
      </c>
      <c r="M36" s="29">
        <f t="shared" si="23"/>
        <v>16.727241379310346</v>
      </c>
      <c r="N36" s="29">
        <f t="shared" si="23"/>
        <v>12.695053763440859</v>
      </c>
      <c r="O36" s="29">
        <f t="shared" si="23"/>
        <v>14.044363636363636</v>
      </c>
      <c r="P36" s="29">
        <f t="shared" si="23"/>
        <v>17.865517241379312</v>
      </c>
      <c r="Q36" s="29">
        <f t="shared" si="23"/>
        <v>25.07206106870229</v>
      </c>
      <c r="R36" s="29">
        <f t="shared" si="23"/>
        <v>14.833128834355829</v>
      </c>
      <c r="S36" s="29">
        <f t="shared" si="23"/>
        <v>21.225961058412377</v>
      </c>
      <c r="T36" s="29">
        <f t="shared" si="23"/>
        <v>24.695373665480428</v>
      </c>
      <c r="U36" s="29">
        <f t="shared" si="23"/>
        <v>22.903529411764705</v>
      </c>
      <c r="V36" s="29">
        <f t="shared" si="23"/>
        <v>24.683888888888891</v>
      </c>
      <c r="W36" s="29">
        <f t="shared" si="23"/>
        <v>22.654031413612564</v>
      </c>
      <c r="X36" s="29">
        <f t="shared" si="23"/>
        <v>16.802119205298013</v>
      </c>
      <c r="Y36" s="29">
        <f t="shared" si="23"/>
        <v>22.63063063063063</v>
      </c>
      <c r="Z36" s="29">
        <f t="shared" si="23"/>
        <v>25.659613304155123</v>
      </c>
      <c r="AA36" s="29">
        <f t="shared" si="23"/>
        <v>26.424935064935067</v>
      </c>
      <c r="AB36" s="29">
        <f t="shared" si="23"/>
        <v>16.204920199501249</v>
      </c>
      <c r="AC36" s="29">
        <f t="shared" ref="AC36:AE36" si="24">IF(AC26/AC12&lt;0,0,AC26/AC12)</f>
        <v>21.311665704387991</v>
      </c>
      <c r="AD36" s="29">
        <f t="shared" si="24"/>
        <v>27.860939352193</v>
      </c>
      <c r="AE36" s="29">
        <f t="shared" si="24"/>
        <v>27.117266990082857</v>
      </c>
      <c r="AF36" s="29">
        <f t="shared" ref="AF36:AI36" si="25">IF(AF26/AF12&lt;0,0,AF26/AF12)</f>
        <v>22.951828247115742</v>
      </c>
      <c r="AG36" s="29">
        <f t="shared" si="25"/>
        <v>20.658067730751835</v>
      </c>
      <c r="AH36" s="29">
        <f t="shared" si="25"/>
        <v>18.879146067071769</v>
      </c>
      <c r="AI36" s="29">
        <f t="shared" si="25"/>
        <v>17.62044642857143</v>
      </c>
    </row>
    <row r="37" spans="1:35" x14ac:dyDescent="0.3">
      <c r="A37" s="16" t="s">
        <v>77</v>
      </c>
      <c r="B37" s="2" t="s">
        <v>38</v>
      </c>
      <c r="C37" s="1" t="s">
        <v>57</v>
      </c>
      <c r="D37" s="30" t="e">
        <f t="shared" ref="D37:AD37" si="26">D26/D23</f>
        <v>#DIV/0!</v>
      </c>
      <c r="E37" s="30" t="e">
        <f t="shared" si="26"/>
        <v>#DIV/0!</v>
      </c>
      <c r="F37" s="30" t="e">
        <f t="shared" si="26"/>
        <v>#DIV/0!</v>
      </c>
      <c r="G37" s="30" t="e">
        <f t="shared" si="26"/>
        <v>#DIV/0!</v>
      </c>
      <c r="H37" s="30">
        <f t="shared" si="26"/>
        <v>8.0121042723471483</v>
      </c>
      <c r="I37" s="30">
        <f t="shared" si="26"/>
        <v>6.069627067599618</v>
      </c>
      <c r="J37" s="30">
        <f t="shared" si="26"/>
        <v>3.5558780330594226</v>
      </c>
      <c r="K37" s="30">
        <f t="shared" si="26"/>
        <v>4.457306441119063</v>
      </c>
      <c r="L37" s="30">
        <f t="shared" si="26"/>
        <v>13.954263213690748</v>
      </c>
      <c r="M37" s="30">
        <f t="shared" si="26"/>
        <v>12.650341626245243</v>
      </c>
      <c r="N37" s="30">
        <f t="shared" si="26"/>
        <v>2.0741729765815777</v>
      </c>
      <c r="O37" s="30">
        <f t="shared" si="26"/>
        <v>2.3038482473734834</v>
      </c>
      <c r="P37" s="30">
        <f t="shared" si="26"/>
        <v>2.7009661388721997</v>
      </c>
      <c r="Q37" s="30">
        <f t="shared" si="26"/>
        <v>3.800533438246712</v>
      </c>
      <c r="R37" s="30">
        <f t="shared" si="26"/>
        <v>2.5966438448113842</v>
      </c>
      <c r="S37" s="30">
        <f t="shared" si="26"/>
        <v>3.9894754028830035</v>
      </c>
      <c r="T37" s="30">
        <f t="shared" si="26"/>
        <v>6.1312302749926673</v>
      </c>
      <c r="U37" s="30">
        <f t="shared" si="26"/>
        <v>5.477444018893074</v>
      </c>
      <c r="V37" s="30">
        <f t="shared" si="26"/>
        <v>5.9165365004667345</v>
      </c>
      <c r="W37" s="30">
        <f t="shared" si="26"/>
        <v>5.2470983991627778</v>
      </c>
      <c r="X37" s="30">
        <f t="shared" si="26"/>
        <v>3.0965203323872528</v>
      </c>
      <c r="Y37" s="30">
        <f t="shared" si="26"/>
        <v>5.6167548632332114</v>
      </c>
      <c r="Z37" s="30">
        <f t="shared" si="26"/>
        <v>5.3297585746835443</v>
      </c>
      <c r="AA37" s="30">
        <f t="shared" si="26"/>
        <v>5.6902511326136809</v>
      </c>
      <c r="AB37" s="30">
        <f t="shared" si="26"/>
        <v>3.6549710332414649</v>
      </c>
      <c r="AC37" s="30">
        <f t="shared" si="26"/>
        <v>4.6723803797468353</v>
      </c>
      <c r="AD37" s="30">
        <f t="shared" si="26"/>
        <v>4.3305786564414124</v>
      </c>
      <c r="AE37" s="30">
        <f t="shared" ref="AE37" si="27">AE26/AE23</f>
        <v>5.9150863885377163</v>
      </c>
      <c r="AF37" s="30"/>
      <c r="AG37" s="30"/>
      <c r="AH37" s="1"/>
      <c r="AI37" s="1"/>
    </row>
    <row r="38" spans="1:35" x14ac:dyDescent="0.3">
      <c r="A38" s="18" t="s">
        <v>78</v>
      </c>
      <c r="B38" s="17" t="s">
        <v>39</v>
      </c>
      <c r="C38" s="6" t="s">
        <v>106</v>
      </c>
      <c r="D38" s="55" t="e">
        <f t="shared" ref="D38:AD38" si="28">D8/D23</f>
        <v>#DIV/0!</v>
      </c>
      <c r="E38" s="55" t="e">
        <f t="shared" si="28"/>
        <v>#DIV/0!</v>
      </c>
      <c r="F38" s="55" t="e">
        <f t="shared" si="28"/>
        <v>#DIV/0!</v>
      </c>
      <c r="G38" s="55" t="e">
        <f t="shared" si="28"/>
        <v>#DIV/0!</v>
      </c>
      <c r="H38" s="55">
        <f t="shared" si="28"/>
        <v>0.35746036175338181</v>
      </c>
      <c r="I38" s="55">
        <f t="shared" si="28"/>
        <v>0.37843143804974322</v>
      </c>
      <c r="J38" s="55">
        <f t="shared" si="28"/>
        <v>0.14225132346880912</v>
      </c>
      <c r="K38" s="55">
        <f t="shared" si="28"/>
        <v>0.44242029928432008</v>
      </c>
      <c r="L38" s="55">
        <f t="shared" si="28"/>
        <v>2.4880465589234331</v>
      </c>
      <c r="M38" s="55">
        <f t="shared" si="28"/>
        <v>2.1514629948364892</v>
      </c>
      <c r="N38" s="55">
        <f t="shared" si="28"/>
        <v>0.36541873825126048</v>
      </c>
      <c r="O38" s="55">
        <f t="shared" si="28"/>
        <v>0.31167746601746288</v>
      </c>
      <c r="P38" s="55">
        <f t="shared" si="28"/>
        <v>0.27597972581101315</v>
      </c>
      <c r="Q38" s="55">
        <f t="shared" si="28"/>
        <v>0.26001700985298626</v>
      </c>
      <c r="R38" s="55">
        <f t="shared" si="28"/>
        <v>0.33872036514968457</v>
      </c>
      <c r="S38" s="55">
        <f t="shared" si="28"/>
        <v>0.33756031281024385</v>
      </c>
      <c r="T38" s="55">
        <f t="shared" si="28"/>
        <v>0.3834559096387033</v>
      </c>
      <c r="U38" s="55">
        <f t="shared" si="28"/>
        <v>0.34255126838927047</v>
      </c>
      <c r="V38" s="55">
        <f t="shared" si="28"/>
        <v>0.34489049393911553</v>
      </c>
      <c r="W38" s="55">
        <f t="shared" si="28"/>
        <v>0.32014319131829871</v>
      </c>
      <c r="X38" s="55">
        <f t="shared" si="28"/>
        <v>0.27888113134202847</v>
      </c>
      <c r="Y38" s="55">
        <f t="shared" si="28"/>
        <v>0.37638816426921068</v>
      </c>
      <c r="Z38" s="55">
        <f t="shared" si="28"/>
        <v>0.32681242807825084</v>
      </c>
      <c r="AA38" s="55">
        <f t="shared" si="28"/>
        <v>0.33055540019016721</v>
      </c>
      <c r="AB38" s="55">
        <f t="shared" si="28"/>
        <v>0.33522695314697115</v>
      </c>
      <c r="AC38" s="55">
        <f t="shared" si="28"/>
        <v>0.32810126582278482</v>
      </c>
      <c r="AD38" s="55">
        <f t="shared" si="28"/>
        <v>0.31815646631143868</v>
      </c>
      <c r="AE38" s="55">
        <f t="shared" ref="AE38" si="29">AE8/AE23</f>
        <v>0.38010488364470668</v>
      </c>
      <c r="AF38" s="55"/>
      <c r="AG38" s="1"/>
      <c r="AH38" s="1"/>
      <c r="AI38" s="1"/>
    </row>
    <row r="39" spans="1:35" x14ac:dyDescent="0.3">
      <c r="A39" s="16" t="s">
        <v>79</v>
      </c>
      <c r="B39" s="2" t="s">
        <v>40</v>
      </c>
      <c r="C39" s="1" t="s">
        <v>107</v>
      </c>
      <c r="D39" s="56" t="e">
        <f t="shared" ref="D39:AD39" si="30">D12/D23</f>
        <v>#DIV/0!</v>
      </c>
      <c r="E39" s="56" t="e">
        <f t="shared" si="30"/>
        <v>#DIV/0!</v>
      </c>
      <c r="F39" s="56" t="e">
        <f t="shared" si="30"/>
        <v>#DIV/0!</v>
      </c>
      <c r="G39" s="56" t="e">
        <f t="shared" si="30"/>
        <v>#DIV/0!</v>
      </c>
      <c r="H39" s="56">
        <f t="shared" si="30"/>
        <v>0.21544316871901137</v>
      </c>
      <c r="I39" s="56">
        <f t="shared" si="30"/>
        <v>0.18741696838567271</v>
      </c>
      <c r="J39" s="56">
        <f t="shared" si="30"/>
        <v>-0.20795454945705197</v>
      </c>
      <c r="K39" s="56">
        <f t="shared" si="30"/>
        <v>-0.45283018867924529</v>
      </c>
      <c r="L39" s="56">
        <f t="shared" si="30"/>
        <v>-4.4135782436554818</v>
      </c>
      <c r="M39" s="56">
        <f t="shared" si="30"/>
        <v>0.75627184060919006</v>
      </c>
      <c r="N39" s="56">
        <f t="shared" si="30"/>
        <v>0.16338433969888089</v>
      </c>
      <c r="O39" s="56">
        <f t="shared" si="30"/>
        <v>0.16404077158813835</v>
      </c>
      <c r="P39" s="56">
        <f t="shared" si="30"/>
        <v>0.15118320406734953</v>
      </c>
      <c r="Q39" s="56">
        <f t="shared" si="30"/>
        <v>0.15158440416336402</v>
      </c>
      <c r="R39" s="56">
        <f t="shared" si="30"/>
        <v>0.17505705463820648</v>
      </c>
      <c r="S39" s="56">
        <f t="shared" si="30"/>
        <v>0.18795263931297354</v>
      </c>
      <c r="T39" s="56">
        <f t="shared" si="30"/>
        <v>0.24827444840662585</v>
      </c>
      <c r="U39" s="56">
        <f t="shared" si="30"/>
        <v>0.2391528362471293</v>
      </c>
      <c r="V39" s="56">
        <f t="shared" si="30"/>
        <v>0.23969223517004168</v>
      </c>
      <c r="W39" s="56">
        <f t="shared" si="30"/>
        <v>0.23161874826437523</v>
      </c>
      <c r="X39" s="56">
        <f t="shared" si="30"/>
        <v>0.18429343909254398</v>
      </c>
      <c r="Y39" s="56">
        <f t="shared" si="30"/>
        <v>0.24819259148841022</v>
      </c>
      <c r="Z39" s="56">
        <f t="shared" si="30"/>
        <v>0.20771001150747986</v>
      </c>
      <c r="AA39" s="56">
        <f t="shared" si="30"/>
        <v>0.21533642821186866</v>
      </c>
      <c r="AB39" s="56">
        <f t="shared" si="30"/>
        <v>0.22554699364418695</v>
      </c>
      <c r="AC39" s="56">
        <f t="shared" si="30"/>
        <v>0.21924050632911393</v>
      </c>
      <c r="AD39" s="56">
        <f t="shared" si="30"/>
        <v>0.15543548628056372</v>
      </c>
      <c r="AE39" s="56">
        <f t="shared" ref="AE39" si="31">AE12/AE23</f>
        <v>0.21812988715643586</v>
      </c>
      <c r="AF39" s="56"/>
      <c r="AG39" s="1"/>
      <c r="AH39" s="1"/>
      <c r="AI39" s="1"/>
    </row>
    <row r="40" spans="1:35" x14ac:dyDescent="0.3">
      <c r="A40" s="18" t="s">
        <v>80</v>
      </c>
      <c r="B40" s="17" t="s">
        <v>41</v>
      </c>
      <c r="C40" s="6" t="s">
        <v>61</v>
      </c>
      <c r="D40" s="7">
        <f t="shared" ref="D40:AD40" si="32">D20-D19</f>
        <v>0</v>
      </c>
      <c r="E40" s="7">
        <f t="shared" si="32"/>
        <v>0</v>
      </c>
      <c r="F40" s="7">
        <f t="shared" si="32"/>
        <v>0</v>
      </c>
      <c r="G40" s="7">
        <f t="shared" si="32"/>
        <v>0</v>
      </c>
      <c r="H40" s="7">
        <f t="shared" si="32"/>
        <v>-407.41679999999985</v>
      </c>
      <c r="I40" s="7">
        <f t="shared" si="32"/>
        <v>-724.85599999999988</v>
      </c>
      <c r="J40" s="7">
        <f t="shared" si="32"/>
        <v>-799.67599999999993</v>
      </c>
      <c r="K40" s="7">
        <f t="shared" si="32"/>
        <v>-627.49699999999996</v>
      </c>
      <c r="L40" s="7">
        <f t="shared" si="32"/>
        <v>-676.53199999999993</v>
      </c>
      <c r="M40" s="7">
        <f t="shared" si="32"/>
        <v>-570.96599999999989</v>
      </c>
      <c r="N40" s="7">
        <f t="shared" si="32"/>
        <v>-622.9369999999999</v>
      </c>
      <c r="O40" s="7">
        <f t="shared" si="32"/>
        <v>-405.17399999999998</v>
      </c>
      <c r="P40" s="7">
        <f t="shared" si="32"/>
        <v>-535.19899999999996</v>
      </c>
      <c r="Q40" s="7">
        <f t="shared" si="32"/>
        <v>-685.61299999999994</v>
      </c>
      <c r="R40" s="7">
        <f t="shared" si="32"/>
        <v>-1105.3240000000001</v>
      </c>
      <c r="S40" s="7">
        <f t="shared" si="32"/>
        <v>-1063.5439999999999</v>
      </c>
      <c r="T40" s="7">
        <f t="shared" si="32"/>
        <v>-1321.337</v>
      </c>
      <c r="U40" s="7">
        <f t="shared" si="32"/>
        <v>-1328.1929999999998</v>
      </c>
      <c r="V40" s="7">
        <f t="shared" si="32"/>
        <v>-1342.4889999999998</v>
      </c>
      <c r="W40" s="7">
        <f t="shared" si="32"/>
        <v>-1642.4800000000002</v>
      </c>
      <c r="X40" s="7">
        <f t="shared" si="32"/>
        <v>-1652.1869999999999</v>
      </c>
      <c r="Y40" s="7">
        <f t="shared" si="32"/>
        <v>-1663.6669999999999</v>
      </c>
      <c r="Z40" s="7">
        <f t="shared" si="32"/>
        <v>-1758.3139999999999</v>
      </c>
      <c r="AA40" s="7">
        <f t="shared" si="32"/>
        <v>-2101.0950000000003</v>
      </c>
      <c r="AB40" s="7">
        <f t="shared" si="32"/>
        <v>-2226</v>
      </c>
      <c r="AC40" s="7">
        <f t="shared" si="32"/>
        <v>-2636.3</v>
      </c>
      <c r="AD40" s="7">
        <f t="shared" si="32"/>
        <v>-2306.6999999999998</v>
      </c>
      <c r="AE40" s="7">
        <f t="shared" ref="AE40" si="33">AE20-AE19</f>
        <v>-2159.5999999999995</v>
      </c>
      <c r="AF40" s="7"/>
      <c r="AG40" s="1"/>
      <c r="AH40" s="1"/>
      <c r="AI40" s="1"/>
    </row>
    <row r="41" spans="1:35" x14ac:dyDescent="0.3">
      <c r="A41" s="53" t="s">
        <v>96</v>
      </c>
      <c r="B41" s="49" t="s">
        <v>42</v>
      </c>
      <c r="C41" s="52" t="s">
        <v>98</v>
      </c>
      <c r="D41" s="29" t="e">
        <f>D20/D19</f>
        <v>#DIV/0!</v>
      </c>
      <c r="E41" s="29" t="e">
        <f t="shared" ref="E41:AD41" si="34">E20/E19</f>
        <v>#DIV/0!</v>
      </c>
      <c r="F41" s="29" t="e">
        <f t="shared" si="34"/>
        <v>#DIV/0!</v>
      </c>
      <c r="G41" s="29" t="e">
        <f t="shared" si="34"/>
        <v>#DIV/0!</v>
      </c>
      <c r="H41" s="29">
        <f t="shared" si="34"/>
        <v>0.60544949206379961</v>
      </c>
      <c r="I41" s="29">
        <f t="shared" si="34"/>
        <v>0.51453860620120984</v>
      </c>
      <c r="J41" s="29">
        <f t="shared" si="34"/>
        <v>0.47153142853366553</v>
      </c>
      <c r="K41" s="29">
        <f t="shared" si="34"/>
        <v>0.52168729709725692</v>
      </c>
      <c r="L41" s="29">
        <f t="shared" si="34"/>
        <v>0.41896514556961484</v>
      </c>
      <c r="M41" s="29">
        <f t="shared" si="34"/>
        <v>0.44505849101349437</v>
      </c>
      <c r="N41" s="29">
        <f t="shared" si="34"/>
        <v>0.4425629663302616</v>
      </c>
      <c r="O41" s="29">
        <f t="shared" si="34"/>
        <v>0.59931685667043777</v>
      </c>
      <c r="P41" s="29">
        <f t="shared" si="34"/>
        <v>0.54025009685519143</v>
      </c>
      <c r="Q41" s="29">
        <f t="shared" si="34"/>
        <v>0.52576166517028955</v>
      </c>
      <c r="R41" s="29">
        <f t="shared" si="34"/>
        <v>0.42629626822986683</v>
      </c>
      <c r="S41" s="29">
        <f t="shared" si="34"/>
        <v>0.42078003840611361</v>
      </c>
      <c r="T41" s="29">
        <f t="shared" si="34"/>
        <v>0.40607928010535921</v>
      </c>
      <c r="U41" s="29">
        <f t="shared" si="34"/>
        <v>0.46349596307061924</v>
      </c>
      <c r="V41" s="29">
        <f t="shared" si="34"/>
        <v>0.45691006195119155</v>
      </c>
      <c r="W41" s="29">
        <f t="shared" si="34"/>
        <v>0.43045522179227952</v>
      </c>
      <c r="X41" s="29">
        <f t="shared" si="34"/>
        <v>0.44429895753942444</v>
      </c>
      <c r="Y41" s="29">
        <f t="shared" si="34"/>
        <v>0.44964155032338377</v>
      </c>
      <c r="Z41" s="29">
        <f t="shared" si="34"/>
        <v>0.48827744728059891</v>
      </c>
      <c r="AA41" s="29">
        <f t="shared" si="34"/>
        <v>0.4776919153048988</v>
      </c>
      <c r="AB41" s="29">
        <f t="shared" si="34"/>
        <v>0.46837982422621327</v>
      </c>
      <c r="AC41" s="29">
        <f t="shared" si="34"/>
        <v>0.47754657154181529</v>
      </c>
      <c r="AD41" s="29">
        <f t="shared" si="34"/>
        <v>0.5134468138960957</v>
      </c>
      <c r="AE41" s="29">
        <f t="shared" ref="AE41" si="35">AE20/AE19</f>
        <v>0.54220545215584859</v>
      </c>
      <c r="AF41" s="29"/>
      <c r="AG41" s="1"/>
      <c r="AH41" s="1"/>
      <c r="AI41" s="1"/>
    </row>
    <row r="42" spans="1:35" x14ac:dyDescent="0.3">
      <c r="A42" s="16" t="s">
        <v>81</v>
      </c>
      <c r="B42" s="17" t="s">
        <v>43</v>
      </c>
      <c r="C42" s="1" t="s">
        <v>60</v>
      </c>
      <c r="D42" s="30" t="e">
        <f t="shared" ref="D42:AD42" si="36">(D20-D21)/D19</f>
        <v>#DIV/0!</v>
      </c>
      <c r="E42" s="30" t="e">
        <f t="shared" si="36"/>
        <v>#DIV/0!</v>
      </c>
      <c r="F42" s="30" t="e">
        <f t="shared" si="36"/>
        <v>#DIV/0!</v>
      </c>
      <c r="G42" s="30" t="e">
        <f t="shared" si="36"/>
        <v>#DIV/0!</v>
      </c>
      <c r="H42" s="30">
        <f t="shared" si="36"/>
        <v>0.26030175961883001</v>
      </c>
      <c r="I42" s="30">
        <f t="shared" si="36"/>
        <v>0.221121029141507</v>
      </c>
      <c r="J42" s="30">
        <f t="shared" si="36"/>
        <v>0.19514867548465334</v>
      </c>
      <c r="K42" s="30">
        <f t="shared" si="36"/>
        <v>0.26713072748851474</v>
      </c>
      <c r="L42" s="30">
        <f t="shared" si="36"/>
        <v>0.2028226738019353</v>
      </c>
      <c r="M42" s="30">
        <f t="shared" si="36"/>
        <v>0.2531471236572726</v>
      </c>
      <c r="N42" s="30">
        <f t="shared" si="36"/>
        <v>0.25624831096499157</v>
      </c>
      <c r="O42" s="30">
        <f t="shared" si="36"/>
        <v>0.3614132799582282</v>
      </c>
      <c r="P42" s="30">
        <f t="shared" si="36"/>
        <v>0.32039010092697501</v>
      </c>
      <c r="Q42" s="30">
        <f t="shared" si="36"/>
        <v>0.31232318425359373</v>
      </c>
      <c r="R42" s="30">
        <f t="shared" si="36"/>
        <v>0.22612820414336623</v>
      </c>
      <c r="S42" s="30">
        <f t="shared" si="36"/>
        <v>0.23861894839573328</v>
      </c>
      <c r="T42" s="30">
        <f t="shared" si="36"/>
        <v>0.24034933948228354</v>
      </c>
      <c r="U42" s="30">
        <f t="shared" si="36"/>
        <v>0.30666323590952499</v>
      </c>
      <c r="V42" s="30">
        <f t="shared" si="36"/>
        <v>0.26513564616702795</v>
      </c>
      <c r="W42" s="30">
        <f t="shared" si="36"/>
        <v>0.23107155129935811</v>
      </c>
      <c r="X42" s="30">
        <f t="shared" si="36"/>
        <v>0.25190958569978456</v>
      </c>
      <c r="Y42" s="30">
        <f t="shared" si="36"/>
        <v>0.23847233051670277</v>
      </c>
      <c r="Z42" s="30">
        <f t="shared" si="36"/>
        <v>0.27913787528713774</v>
      </c>
      <c r="AA42" s="30">
        <f t="shared" si="36"/>
        <v>0.26711258474382454</v>
      </c>
      <c r="AB42" s="30">
        <f t="shared" si="36"/>
        <v>0.23567061520825375</v>
      </c>
      <c r="AC42" s="30">
        <f t="shared" si="36"/>
        <v>0.27061038446294089</v>
      </c>
      <c r="AD42" s="30">
        <f t="shared" si="36"/>
        <v>0.30700921765909422</v>
      </c>
      <c r="AE42" s="30">
        <f t="shared" ref="AE42" si="37">(AE20-AE21)/AE19</f>
        <v>0.33838555136303905</v>
      </c>
      <c r="AF42" s="30"/>
      <c r="AG42" s="1"/>
      <c r="AH42" s="1"/>
      <c r="AI42" s="1"/>
    </row>
    <row r="43" spans="1:35" x14ac:dyDescent="0.3">
      <c r="A43" s="18" t="s">
        <v>82</v>
      </c>
      <c r="B43" s="49" t="s">
        <v>44</v>
      </c>
      <c r="C43" s="6" t="s">
        <v>62</v>
      </c>
      <c r="D43" s="29" t="e">
        <f t="shared" ref="D43:AD43" si="38">D14/D19</f>
        <v>#DIV/0!</v>
      </c>
      <c r="E43" s="29" t="e">
        <f t="shared" si="38"/>
        <v>#DIV/0!</v>
      </c>
      <c r="F43" s="29" t="e">
        <f t="shared" si="38"/>
        <v>#DIV/0!</v>
      </c>
      <c r="G43" s="29" t="e">
        <f t="shared" si="38"/>
        <v>#DIV/0!</v>
      </c>
      <c r="H43" s="29">
        <f t="shared" si="38"/>
        <v>5.5410077376744374E-2</v>
      </c>
      <c r="I43" s="29">
        <f t="shared" si="38"/>
        <v>6.0359861981022396E-2</v>
      </c>
      <c r="J43" s="29">
        <f t="shared" si="38"/>
        <v>5.6130240980177708E-2</v>
      </c>
      <c r="K43" s="29">
        <f t="shared" si="38"/>
        <v>8.7857507106121904E-2</v>
      </c>
      <c r="L43" s="29">
        <f t="shared" si="38"/>
        <v>0.11185229272465404</v>
      </c>
      <c r="M43" s="29">
        <f t="shared" si="38"/>
        <v>0.12903206994817648</v>
      </c>
      <c r="N43" s="29">
        <f t="shared" si="38"/>
        <v>0.14408296360990855</v>
      </c>
      <c r="O43" s="29">
        <f t="shared" si="38"/>
        <v>0.18927065450431563</v>
      </c>
      <c r="P43" s="29">
        <f t="shared" si="38"/>
        <v>0.15098586128962152</v>
      </c>
      <c r="Q43" s="29">
        <f t="shared" si="38"/>
        <v>0.18581752684140848</v>
      </c>
      <c r="R43" s="29">
        <f t="shared" si="38"/>
        <v>0.11788984587723952</v>
      </c>
      <c r="S43" s="29">
        <f t="shared" si="38"/>
        <v>0.12172156547937388</v>
      </c>
      <c r="T43" s="29">
        <f t="shared" si="38"/>
        <v>0.13661052603190443</v>
      </c>
      <c r="U43" s="29">
        <f t="shared" si="38"/>
        <v>0.21166209681198106</v>
      </c>
      <c r="V43" s="29">
        <f t="shared" si="38"/>
        <v>0.15048872426824858</v>
      </c>
      <c r="W43" s="29">
        <f t="shared" si="38"/>
        <v>0.12760732452172394</v>
      </c>
      <c r="X43" s="29">
        <f t="shared" si="38"/>
        <v>0.15000884581310514</v>
      </c>
      <c r="Y43" s="29">
        <f t="shared" si="38"/>
        <v>0.15581172782635364</v>
      </c>
      <c r="Z43" s="29">
        <f t="shared" si="38"/>
        <v>0.128548058842823</v>
      </c>
      <c r="AA43" s="29">
        <f t="shared" si="38"/>
        <v>0.15996670902614951</v>
      </c>
      <c r="AB43" s="29">
        <f t="shared" si="38"/>
        <v>0.16271016431027893</v>
      </c>
      <c r="AC43" s="29">
        <f t="shared" si="38"/>
        <v>0.18416567578279824</v>
      </c>
      <c r="AD43" s="29">
        <f t="shared" si="38"/>
        <v>0.22000042186082813</v>
      </c>
      <c r="AE43" s="29">
        <f t="shared" ref="AE43" si="39">AE14/AE19</f>
        <v>0.24776359859244501</v>
      </c>
      <c r="AF43" s="29"/>
      <c r="AG43" s="1"/>
      <c r="AH43" s="1"/>
      <c r="AI43" s="1"/>
    </row>
    <row r="44" spans="1:35" x14ac:dyDescent="0.3">
      <c r="A44" s="16" t="s">
        <v>83</v>
      </c>
      <c r="B44" s="17" t="s">
        <v>45</v>
      </c>
      <c r="C44" s="1" t="s">
        <v>63</v>
      </c>
      <c r="D44" s="30" t="e">
        <f t="shared" ref="D44:AD44" si="40">D29/D7</f>
        <v>#DIV/0!</v>
      </c>
      <c r="E44" s="30" t="e">
        <f t="shared" si="40"/>
        <v>#DIV/0!</v>
      </c>
      <c r="F44" s="30" t="e">
        <f t="shared" si="40"/>
        <v>#DIV/0!</v>
      </c>
      <c r="G44" s="30" t="e">
        <f t="shared" si="40"/>
        <v>#DIV/0!</v>
      </c>
      <c r="H44" s="30">
        <f t="shared" si="40"/>
        <v>3.5971055800883178</v>
      </c>
      <c r="I44" s="30">
        <f t="shared" si="40"/>
        <v>4.264759011265653</v>
      </c>
      <c r="J44" s="30">
        <f t="shared" si="40"/>
        <v>7.618165521362414</v>
      </c>
      <c r="K44" s="30">
        <f t="shared" si="40"/>
        <v>4.4331423076923073</v>
      </c>
      <c r="L44" s="30">
        <f t="shared" si="40"/>
        <v>3.0620833333333333</v>
      </c>
      <c r="M44" s="30">
        <f t="shared" si="40"/>
        <v>2.4528206896551725</v>
      </c>
      <c r="N44" s="30">
        <f t="shared" si="40"/>
        <v>2.0036262295081966</v>
      </c>
      <c r="O44" s="30">
        <f t="shared" si="40"/>
        <v>1.6882077922077925</v>
      </c>
      <c r="P44" s="30">
        <f t="shared" si="40"/>
        <v>1.5832198806708033</v>
      </c>
      <c r="Q44" s="30">
        <f t="shared" si="40"/>
        <v>1.6346270950118089</v>
      </c>
      <c r="R44" s="30">
        <f t="shared" si="40"/>
        <v>1.7764380283059953</v>
      </c>
      <c r="S44" s="30">
        <f t="shared" si="40"/>
        <v>1.301949822743387</v>
      </c>
      <c r="T44" s="30">
        <f t="shared" si="40"/>
        <v>0.90724519230769229</v>
      </c>
      <c r="U44" s="30">
        <f t="shared" si="40"/>
        <v>0.2943722943722944</v>
      </c>
      <c r="V44" s="30">
        <f t="shared" si="40"/>
        <v>0.43378378378378379</v>
      </c>
      <c r="W44" s="30">
        <f t="shared" si="40"/>
        <v>0.44530244530244528</v>
      </c>
      <c r="X44" s="30">
        <f t="shared" si="40"/>
        <v>0.37244201909959074</v>
      </c>
      <c r="Y44" s="30">
        <f t="shared" si="40"/>
        <v>0.23362499999999997</v>
      </c>
      <c r="Z44" s="30">
        <f t="shared" si="40"/>
        <v>-0.11914153132250578</v>
      </c>
      <c r="AA44" s="30">
        <f t="shared" si="40"/>
        <v>-0.11518438177874192</v>
      </c>
      <c r="AB44" s="30">
        <f t="shared" si="40"/>
        <v>-4.3854166666666569E-2</v>
      </c>
      <c r="AC44" s="30">
        <f t="shared" si="40"/>
        <v>2.093205741626794</v>
      </c>
      <c r="AD44" s="30">
        <f t="shared" si="40"/>
        <v>1.277348871085215</v>
      </c>
      <c r="AE44" s="30">
        <f t="shared" ref="AE44" si="41">AE29/AE7</f>
        <v>1.0518518518518518</v>
      </c>
      <c r="AF44" s="30"/>
      <c r="AG44" s="1"/>
      <c r="AH44" s="1"/>
      <c r="AI44" s="1"/>
    </row>
    <row r="45" spans="1:35" x14ac:dyDescent="0.3">
      <c r="A45" s="18" t="s">
        <v>84</v>
      </c>
      <c r="B45" s="54" t="s">
        <v>99</v>
      </c>
      <c r="C45" s="6" t="s">
        <v>64</v>
      </c>
      <c r="D45" s="29" t="e">
        <f t="shared" ref="D45:AD45" si="42">D18/D23</f>
        <v>#DIV/0!</v>
      </c>
      <c r="E45" s="29" t="e">
        <f t="shared" si="42"/>
        <v>#DIV/0!</v>
      </c>
      <c r="F45" s="29" t="e">
        <f t="shared" si="42"/>
        <v>#DIV/0!</v>
      </c>
      <c r="G45" s="29" t="e">
        <f t="shared" si="42"/>
        <v>#DIV/0!</v>
      </c>
      <c r="H45" s="29">
        <f t="shared" si="42"/>
        <v>4.4879502847831096</v>
      </c>
      <c r="I45" s="29">
        <f t="shared" si="42"/>
        <v>5.6353341436276692</v>
      </c>
      <c r="J45" s="29">
        <f t="shared" si="42"/>
        <v>9.2686245434340808</v>
      </c>
      <c r="K45" s="29">
        <f t="shared" si="42"/>
        <v>12.722945998698766</v>
      </c>
      <c r="L45" s="29">
        <f t="shared" si="42"/>
        <v>42.404426559356139</v>
      </c>
      <c r="M45" s="29">
        <f t="shared" si="42"/>
        <v>23.775608929223388</v>
      </c>
      <c r="N45" s="29">
        <f t="shared" si="42"/>
        <v>2.9241193935454404</v>
      </c>
      <c r="O45" s="29">
        <f t="shared" si="42"/>
        <v>2.5383072483651841</v>
      </c>
      <c r="P45" s="29">
        <f t="shared" si="42"/>
        <v>2.3947145830536662</v>
      </c>
      <c r="Q45" s="29">
        <f t="shared" si="42"/>
        <v>2.6184273407351264</v>
      </c>
      <c r="R45" s="29">
        <f t="shared" si="42"/>
        <v>3.0022177473486376</v>
      </c>
      <c r="S45" s="29">
        <f t="shared" si="42"/>
        <v>2.588672733448814</v>
      </c>
      <c r="T45" s="29">
        <f t="shared" si="42"/>
        <v>2.6745607927818402</v>
      </c>
      <c r="U45" s="29">
        <f t="shared" si="42"/>
        <v>2.1520927631648363</v>
      </c>
      <c r="V45" s="29">
        <f t="shared" si="42"/>
        <v>2.177061319931874</v>
      </c>
      <c r="W45" s="29">
        <f t="shared" si="42"/>
        <v>2.0917822638246681</v>
      </c>
      <c r="X45" s="29">
        <f t="shared" si="42"/>
        <v>2.1564346176307798</v>
      </c>
      <c r="Y45" s="29">
        <f t="shared" si="42"/>
        <v>2.9745844823731087</v>
      </c>
      <c r="Z45" s="29">
        <f t="shared" si="42"/>
        <v>2.2713463751438434</v>
      </c>
      <c r="AA45" s="29">
        <f t="shared" si="42"/>
        <v>2.6029979305330273</v>
      </c>
      <c r="AB45" s="29">
        <f t="shared" si="42"/>
        <v>2.7459362168850889</v>
      </c>
      <c r="AC45" s="29">
        <f t="shared" si="42"/>
        <v>3.9376708860759493</v>
      </c>
      <c r="AD45" s="29">
        <f t="shared" si="42"/>
        <v>3.6949355111797222</v>
      </c>
      <c r="AE45" s="29">
        <f t="shared" ref="AE45" si="43">AE18/AE23</f>
        <v>3.4617689750433116</v>
      </c>
      <c r="AF45" s="29"/>
      <c r="AG45" s="1"/>
      <c r="AH45" s="1"/>
      <c r="AI45" s="1"/>
    </row>
    <row r="46" spans="1:35" x14ac:dyDescent="0.3">
      <c r="A46" s="18" t="s">
        <v>97</v>
      </c>
      <c r="B46" s="17" t="s">
        <v>100</v>
      </c>
      <c r="C46" s="6" t="s">
        <v>111</v>
      </c>
      <c r="D46" s="28">
        <f t="shared" ref="D46:AG46" si="44">D13/D4</f>
        <v>0</v>
      </c>
      <c r="E46" s="28">
        <f t="shared" si="44"/>
        <v>0</v>
      </c>
      <c r="F46" s="28">
        <f t="shared" si="44"/>
        <v>0</v>
      </c>
      <c r="G46" s="28">
        <f t="shared" si="44"/>
        <v>0</v>
      </c>
      <c r="H46" s="28">
        <f t="shared" si="44"/>
        <v>5.5737704918032791E-3</v>
      </c>
      <c r="I46" s="28">
        <f t="shared" si="44"/>
        <v>1.1954022988505748E-2</v>
      </c>
      <c r="J46" s="28">
        <f t="shared" si="44"/>
        <v>7.1808510638297879E-2</v>
      </c>
      <c r="K46" s="28">
        <f t="shared" si="44"/>
        <v>3.9873417721518985E-2</v>
      </c>
      <c r="L46" s="28">
        <f t="shared" si="44"/>
        <v>6.386554621848739E-2</v>
      </c>
      <c r="M46" s="28">
        <f t="shared" si="44"/>
        <v>4.9162011173184354E-2</v>
      </c>
      <c r="N46" s="28">
        <f t="shared" si="44"/>
        <v>1.3723404255319149E-2</v>
      </c>
      <c r="O46" s="28">
        <f t="shared" si="44"/>
        <v>3.7804878048780487E-2</v>
      </c>
      <c r="P46" s="28">
        <f t="shared" si="44"/>
        <v>3.1818181818181822E-2</v>
      </c>
      <c r="Q46" s="28">
        <f t="shared" si="44"/>
        <v>2.0841300191204587E-2</v>
      </c>
      <c r="R46" s="28">
        <f t="shared" si="44"/>
        <v>3.038961038961039E-2</v>
      </c>
      <c r="S46" s="28">
        <f t="shared" si="44"/>
        <v>1.9793205317577549E-2</v>
      </c>
      <c r="T46" s="28">
        <f t="shared" si="44"/>
        <v>3.4389140271493208E-2</v>
      </c>
      <c r="U46" s="28">
        <f t="shared" si="44"/>
        <v>4.8387096774193548E-4</v>
      </c>
      <c r="V46" s="28">
        <f t="shared" si="44"/>
        <v>3.8162544169611311E-2</v>
      </c>
      <c r="W46" s="28">
        <f t="shared" si="44"/>
        <v>2.4383164005805518E-2</v>
      </c>
      <c r="X46" s="28">
        <f t="shared" si="44"/>
        <v>4.0841584158415843E-2</v>
      </c>
      <c r="Y46" s="28">
        <f t="shared" si="44"/>
        <v>5.3833333333333337E-2</v>
      </c>
      <c r="Z46" s="28">
        <f t="shared" si="44"/>
        <v>4.1383989145183175</v>
      </c>
      <c r="AA46" s="28">
        <f t="shared" si="44"/>
        <v>3.7654320987654324E-2</v>
      </c>
      <c r="AB46" s="28">
        <f t="shared" si="44"/>
        <v>3.1914893617021281E-2</v>
      </c>
      <c r="AC46" s="28">
        <f t="shared" si="44"/>
        <v>2.386634844868735E-2</v>
      </c>
      <c r="AD46" s="28">
        <f t="shared" si="44"/>
        <v>2.5325615050651229E-2</v>
      </c>
      <c r="AE46" s="28">
        <f t="shared" si="44"/>
        <v>1.8905472636815919E-2</v>
      </c>
      <c r="AF46" s="28">
        <f t="shared" si="44"/>
        <v>2.2420382165605095E-2</v>
      </c>
      <c r="AG46" s="28">
        <f t="shared" si="44"/>
        <v>2.5477707006369428E-2</v>
      </c>
      <c r="AH46" s="1"/>
      <c r="AI46" s="1"/>
    </row>
  </sheetData>
  <mergeCells count="2">
    <mergeCell ref="A6:A13"/>
    <mergeCell ref="A14:A2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014AC-1A04-4F0D-AE99-998E9D6790A2}">
  <sheetPr codeName="Planilha23"/>
  <dimension ref="A1:AF46"/>
  <sheetViews>
    <sheetView zoomScaleNormal="100" workbookViewId="0">
      <pane xSplit="3" ySplit="3" topLeftCell="M4" activePane="bottomRight" state="frozen"/>
      <selection activeCell="C22" sqref="C22"/>
      <selection pane="topRight" activeCell="C22" sqref="C22"/>
      <selection pane="bottomLeft" activeCell="C22" sqref="C22"/>
      <selection pane="bottomRight" activeCell="AG30" sqref="AG30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1" width="8.33203125" customWidth="1"/>
  </cols>
  <sheetData>
    <row r="1" spans="1:32" x14ac:dyDescent="0.3">
      <c r="H1" t="str">
        <f>IF(H7&lt;H8,"Rever","")</f>
        <v/>
      </c>
    </row>
    <row r="2" spans="1:32" x14ac:dyDescent="0.3">
      <c r="H2" t="str">
        <f>IF(H6&lt;H12,"Rever","")</f>
        <v/>
      </c>
      <c r="AB2" s="104" t="s">
        <v>103</v>
      </c>
      <c r="AC2" s="107"/>
      <c r="AD2" s="107"/>
      <c r="AE2" s="107"/>
    </row>
    <row r="3" spans="1:32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8" t="s">
        <v>94</v>
      </c>
    </row>
    <row r="4" spans="1:32" x14ac:dyDescent="0.3">
      <c r="A4" s="4" t="s">
        <v>5</v>
      </c>
      <c r="B4" s="11">
        <v>1</v>
      </c>
      <c r="C4" s="6" t="s">
        <v>4</v>
      </c>
      <c r="D4" s="19">
        <v>0.68</v>
      </c>
      <c r="E4" s="19">
        <v>0.83</v>
      </c>
      <c r="F4" s="19">
        <v>0.82</v>
      </c>
      <c r="G4" s="19">
        <v>0.83</v>
      </c>
      <c r="H4" s="19">
        <v>1.02</v>
      </c>
      <c r="I4" s="19">
        <v>0.69</v>
      </c>
      <c r="J4" s="19">
        <v>0.51</v>
      </c>
      <c r="K4" s="19">
        <v>0.25</v>
      </c>
      <c r="L4" s="19">
        <v>0.15</v>
      </c>
      <c r="M4" s="19">
        <v>0.14000000000000001</v>
      </c>
      <c r="N4" s="19">
        <v>0.2</v>
      </c>
      <c r="O4" s="19">
        <v>0.14000000000000001</v>
      </c>
      <c r="P4" s="19">
        <v>9.6000000000000002E-2</v>
      </c>
      <c r="Q4" s="19">
        <v>0.1</v>
      </c>
      <c r="R4" s="19">
        <v>7.0000000000000007E-2</v>
      </c>
      <c r="S4" s="19">
        <v>0.08</v>
      </c>
      <c r="T4" s="19">
        <v>0.05</v>
      </c>
      <c r="U4" s="19">
        <v>0.03</v>
      </c>
      <c r="V4" s="19">
        <v>0.02</v>
      </c>
      <c r="W4" s="19">
        <v>0.02</v>
      </c>
      <c r="X4" s="19">
        <v>0.03</v>
      </c>
      <c r="Y4" s="19">
        <v>0.03</v>
      </c>
      <c r="Z4" s="19">
        <v>0.02</v>
      </c>
      <c r="AA4" s="19">
        <v>0.01</v>
      </c>
      <c r="AB4" s="19">
        <v>8.9999999999999993E-3</v>
      </c>
      <c r="AC4" s="98">
        <v>7.4999999999999997E-3</v>
      </c>
      <c r="AD4" s="98">
        <v>1.0999999999999999E-2</v>
      </c>
      <c r="AE4" s="98">
        <v>5.4999999999999997E-3</v>
      </c>
      <c r="AF4" s="99">
        <v>5.4999999999999997E-3</v>
      </c>
    </row>
    <row r="5" spans="1:32" x14ac:dyDescent="0.3">
      <c r="A5" s="5" t="s">
        <v>8</v>
      </c>
      <c r="B5" s="12">
        <v>3</v>
      </c>
      <c r="C5" s="1" t="s">
        <v>86</v>
      </c>
      <c r="D5" s="3"/>
      <c r="E5" s="3"/>
      <c r="F5" s="3"/>
      <c r="G5" s="3"/>
      <c r="H5" s="3">
        <v>19.952000000000002</v>
      </c>
      <c r="I5" s="3">
        <v>19.952000000000002</v>
      </c>
      <c r="J5" s="3">
        <v>19.952000000000002</v>
      </c>
      <c r="K5" s="3">
        <v>20</v>
      </c>
      <c r="L5" s="3">
        <v>19.527000000000001</v>
      </c>
      <c r="M5" s="3">
        <v>20</v>
      </c>
      <c r="N5" s="3">
        <v>20</v>
      </c>
      <c r="O5" s="3">
        <v>20</v>
      </c>
      <c r="P5" s="3">
        <v>100</v>
      </c>
      <c r="Q5" s="3">
        <v>100</v>
      </c>
      <c r="R5" s="3">
        <v>186.69662</v>
      </c>
      <c r="S5" s="3">
        <v>186.69662</v>
      </c>
      <c r="T5" s="3">
        <v>186.69662</v>
      </c>
      <c r="U5" s="3">
        <v>186.69662</v>
      </c>
      <c r="V5" s="3">
        <v>186.69662</v>
      </c>
      <c r="W5" s="3">
        <v>186.69662</v>
      </c>
      <c r="X5" s="3">
        <v>186.69662</v>
      </c>
      <c r="Y5" s="3">
        <v>186.8</v>
      </c>
      <c r="Z5" s="3">
        <v>186.8</v>
      </c>
      <c r="AA5" s="3">
        <v>186.8</v>
      </c>
      <c r="AB5" s="3">
        <v>186.8</v>
      </c>
      <c r="AC5" s="3">
        <v>186.7</v>
      </c>
      <c r="AD5" s="3">
        <v>186.7</v>
      </c>
      <c r="AE5" s="3">
        <v>186.7</v>
      </c>
      <c r="AF5" s="3">
        <v>186.7</v>
      </c>
    </row>
    <row r="6" spans="1:32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>
        <f>(2128827*5)/1000000</f>
        <v>10.644135</v>
      </c>
      <c r="I6" s="7">
        <v>14.44</v>
      </c>
      <c r="J6" s="7">
        <f>23.050792+15.850495</f>
        <v>38.901287000000004</v>
      </c>
      <c r="K6" s="7">
        <f>23.545433+14.93431</f>
        <v>38.479742999999999</v>
      </c>
      <c r="L6" s="7">
        <v>45.769267999999997</v>
      </c>
      <c r="M6" s="7">
        <v>41.565742999999998</v>
      </c>
      <c r="N6" s="7">
        <v>41.722206999999997</v>
      </c>
      <c r="O6" s="7">
        <v>38.055956000000002</v>
      </c>
      <c r="P6" s="7">
        <v>36.459716999999998</v>
      </c>
      <c r="Q6" s="7">
        <v>36.004708999999998</v>
      </c>
      <c r="R6" s="7">
        <v>37.441450000000003</v>
      </c>
      <c r="S6" s="7">
        <v>37.04692</v>
      </c>
      <c r="T6" s="7">
        <v>36.404034000000003</v>
      </c>
      <c r="U6" s="7">
        <v>31.746724</v>
      </c>
      <c r="V6" s="7">
        <v>24.591705999999999</v>
      </c>
      <c r="W6" s="71">
        <v>36.999426999999997</v>
      </c>
      <c r="X6" s="7">
        <v>23.221810000000001</v>
      </c>
      <c r="Y6" s="7">
        <v>21.562106</v>
      </c>
      <c r="Z6" s="7">
        <v>19.009547000000001</v>
      </c>
      <c r="AA6" s="7">
        <v>17.87</v>
      </c>
      <c r="AB6" s="7">
        <v>26.07</v>
      </c>
      <c r="AC6" s="7">
        <v>14.58</v>
      </c>
      <c r="AD6" s="7">
        <v>10.88</v>
      </c>
      <c r="AE6" s="7"/>
      <c r="AF6" s="1"/>
    </row>
    <row r="7" spans="1:32" x14ac:dyDescent="0.3">
      <c r="A7" s="101"/>
      <c r="B7" s="13">
        <v>5</v>
      </c>
      <c r="C7" s="1" t="s">
        <v>9</v>
      </c>
      <c r="D7" s="3"/>
      <c r="E7" s="3"/>
      <c r="F7" s="3"/>
      <c r="G7" s="3"/>
      <c r="H7" s="3">
        <f>H8+(1496.97*5)/1000</f>
        <v>15.360355000000002</v>
      </c>
      <c r="I7" s="3">
        <f>I8+(10.08)</f>
        <v>18.134999999999998</v>
      </c>
      <c r="J7" s="3">
        <f>J8+(10.002)</f>
        <v>18.409328000000002</v>
      </c>
      <c r="K7" s="3">
        <f>K8+(11.466)</f>
        <v>13.412227</v>
      </c>
      <c r="L7" s="3">
        <f>L8+(9.13265)</f>
        <v>11.534545999999999</v>
      </c>
      <c r="M7" s="3">
        <f>M8+(8.940047)</f>
        <v>11.996829</v>
      </c>
      <c r="N7" s="3">
        <f>N8+(6.770477)</f>
        <v>11.316012000000001</v>
      </c>
      <c r="O7" s="3">
        <f>O8+(5.663311)</f>
        <v>6.8572249999999997</v>
      </c>
      <c r="P7" s="3">
        <f>P8+(5.663311)</f>
        <v>2.1082960000000002</v>
      </c>
      <c r="Q7" s="3">
        <f>Q8+(5.517278)</f>
        <v>5.028162</v>
      </c>
      <c r="R7" s="3">
        <f>R8+(5.45838)</f>
        <v>-17.444595</v>
      </c>
      <c r="S7" s="3">
        <f>S8+(7.257233)</f>
        <v>0.52529300000000045</v>
      </c>
      <c r="T7" s="3">
        <f>T8+(7.146461)</f>
        <v>0.97883300000000073</v>
      </c>
      <c r="U7" s="3">
        <f>U8+(5.877507)</f>
        <v>-10.575512000000002</v>
      </c>
      <c r="V7" s="3">
        <f>V8+(4.538908)</f>
        <v>-0.44486699999999946</v>
      </c>
      <c r="W7" s="3">
        <f>W8+(3.77803)</f>
        <v>13.053550999999999</v>
      </c>
      <c r="X7" s="3">
        <v>-0.87</v>
      </c>
      <c r="Y7" s="3">
        <v>1.42</v>
      </c>
      <c r="Z7" s="3">
        <v>-2</v>
      </c>
      <c r="AA7" s="35">
        <v>0.39</v>
      </c>
      <c r="AB7" s="35">
        <v>7.5</v>
      </c>
      <c r="AC7" s="3">
        <v>-3.6</v>
      </c>
      <c r="AD7" s="3">
        <v>-0.8</v>
      </c>
      <c r="AE7" s="3"/>
      <c r="AF7" s="1"/>
    </row>
    <row r="8" spans="1:32" x14ac:dyDescent="0.3">
      <c r="A8" s="101"/>
      <c r="B8" s="13">
        <v>6</v>
      </c>
      <c r="C8" s="6" t="s">
        <v>10</v>
      </c>
      <c r="D8" s="7"/>
      <c r="E8" s="7"/>
      <c r="F8" s="7"/>
      <c r="G8" s="7"/>
      <c r="H8" s="7">
        <f>(1575101*5)/1000000</f>
        <v>7.8755050000000004</v>
      </c>
      <c r="I8" s="7">
        <v>8.0549999999999997</v>
      </c>
      <c r="J8" s="7">
        <v>8.4073279999999997</v>
      </c>
      <c r="K8" s="7">
        <v>1.9462269999999999</v>
      </c>
      <c r="L8" s="7">
        <v>2.4018959999999998</v>
      </c>
      <c r="M8" s="7">
        <v>3.0567820000000001</v>
      </c>
      <c r="N8" s="7">
        <v>4.5455350000000001</v>
      </c>
      <c r="O8" s="7">
        <v>1.1939139999999999</v>
      </c>
      <c r="P8" s="7">
        <v>-3.555015</v>
      </c>
      <c r="Q8" s="7">
        <v>-0.489116</v>
      </c>
      <c r="R8" s="7">
        <v>-22.902975000000001</v>
      </c>
      <c r="S8" s="7">
        <v>-6.7319399999999998</v>
      </c>
      <c r="T8" s="7">
        <v>-6.1676279999999997</v>
      </c>
      <c r="U8" s="7">
        <v>-16.453019000000001</v>
      </c>
      <c r="V8" s="7">
        <v>-4.9837749999999996</v>
      </c>
      <c r="W8" s="7">
        <v>9.2755209999999995</v>
      </c>
      <c r="X8" s="7">
        <v>-3.7696640000000001</v>
      </c>
      <c r="Y8" s="7">
        <v>6.0463000000000003E-2</v>
      </c>
      <c r="Z8" s="7">
        <v>-3.288586</v>
      </c>
      <c r="AA8" s="7">
        <v>-0.73106899999999997</v>
      </c>
      <c r="AB8" s="7">
        <v>6.45</v>
      </c>
      <c r="AC8" s="7">
        <v>-4.79</v>
      </c>
      <c r="AD8" s="7">
        <v>-1.9</v>
      </c>
      <c r="AE8" s="7"/>
      <c r="AF8" s="1"/>
    </row>
    <row r="9" spans="1:32" x14ac:dyDescent="0.3">
      <c r="A9" s="101"/>
      <c r="B9" s="13">
        <v>11</v>
      </c>
      <c r="C9" s="1" t="s">
        <v>11</v>
      </c>
      <c r="D9" s="3"/>
      <c r="E9" s="3"/>
      <c r="F9" s="3"/>
      <c r="G9" s="3"/>
      <c r="H9" s="3">
        <f>-(733.137*5)/1000000</f>
        <v>-3.6656849999999997E-3</v>
      </c>
      <c r="I9" s="3">
        <v>-4.6529999999999996</v>
      </c>
      <c r="J9" s="3">
        <v>-5.8076290000000004</v>
      </c>
      <c r="K9" s="3">
        <v>-8.4445706000000005</v>
      </c>
      <c r="L9" s="3">
        <v>-7.6843329999999996</v>
      </c>
      <c r="M9" s="3">
        <v>-4.7356720000000001</v>
      </c>
      <c r="N9" s="3">
        <v>-3.297771</v>
      </c>
      <c r="O9" s="3">
        <v>-2.3211580000000001</v>
      </c>
      <c r="P9" s="3">
        <v>-2.3211580000000001</v>
      </c>
      <c r="Q9" s="3">
        <v>-1.7589049999999999</v>
      </c>
      <c r="R9" s="3">
        <v>-2.6594099999999998</v>
      </c>
      <c r="S9" s="3">
        <v>-2.6936640000000001</v>
      </c>
      <c r="T9" s="3">
        <v>-2.4570720000000001</v>
      </c>
      <c r="U9" s="3">
        <v>-2.6792229999999999</v>
      </c>
      <c r="V9" s="3">
        <v>-2.5652339999999998</v>
      </c>
      <c r="W9" s="3">
        <v>35.922991000000003</v>
      </c>
      <c r="X9" s="3">
        <v>0.72</v>
      </c>
      <c r="Y9" s="3">
        <v>-0.72</v>
      </c>
      <c r="Z9" s="3">
        <v>-0.94</v>
      </c>
      <c r="AA9" s="3">
        <v>-0.52</v>
      </c>
      <c r="AB9" s="3">
        <v>2.69</v>
      </c>
      <c r="AC9" s="3">
        <v>-0.56999999999999995</v>
      </c>
      <c r="AD9" s="3">
        <v>-0.73</v>
      </c>
      <c r="AE9" s="3"/>
      <c r="AF9" s="1"/>
    </row>
    <row r="10" spans="1:32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>
        <f>(936.545*5)/1000</f>
        <v>4.6827249999999996</v>
      </c>
      <c r="I10" s="7">
        <v>4.0279999999999996</v>
      </c>
      <c r="J10" s="7">
        <v>2.2280600000000002</v>
      </c>
      <c r="K10" s="7">
        <v>-10.849155</v>
      </c>
      <c r="L10" s="7">
        <v>5.7962100000000003</v>
      </c>
      <c r="M10" s="7">
        <v>5.1476620000000004</v>
      </c>
      <c r="N10" s="7">
        <v>2.3457379999999999</v>
      </c>
      <c r="O10" s="7">
        <v>-1.1272439999999999</v>
      </c>
      <c r="P10" s="7">
        <v>-5.8761729999999996</v>
      </c>
      <c r="Q10" s="7">
        <v>-2.248021</v>
      </c>
      <c r="R10" s="7">
        <v>-25.562384999999999</v>
      </c>
      <c r="S10" s="7">
        <v>-9.4256039999999999</v>
      </c>
      <c r="T10" s="7">
        <v>-8.6247000000000007</v>
      </c>
      <c r="U10" s="7">
        <v>-19.453019000000001</v>
      </c>
      <c r="V10" s="7">
        <v>-7.5490089999999999</v>
      </c>
      <c r="W10" s="7">
        <v>-45.198512000000001</v>
      </c>
      <c r="X10" s="7">
        <v>-4.2277779999999998</v>
      </c>
      <c r="Y10" s="7">
        <v>-1.7652030000000001</v>
      </c>
      <c r="Z10" s="7">
        <v>-4.3309540000000002</v>
      </c>
      <c r="AA10" s="7">
        <v>-2.3199999999999998</v>
      </c>
      <c r="AB10" s="7">
        <v>8.81</v>
      </c>
      <c r="AC10" s="7">
        <v>-6.16</v>
      </c>
      <c r="AD10" s="7">
        <v>-3.36</v>
      </c>
      <c r="AE10" s="7"/>
      <c r="AF10" s="1"/>
    </row>
    <row r="11" spans="1:32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>
        <f>(44548*5)/1000000</f>
        <v>0.22273999999999999</v>
      </c>
      <c r="I11" s="22">
        <v>0.34394000000000002</v>
      </c>
      <c r="J11" s="22">
        <v>0.46171699999999999</v>
      </c>
      <c r="K11" s="22">
        <v>0.47205999999999998</v>
      </c>
      <c r="L11" s="3">
        <v>0.95469999999999999</v>
      </c>
      <c r="M11" s="3">
        <v>0.70433000000000001</v>
      </c>
      <c r="N11" s="3">
        <v>6.3640000000000002E-2</v>
      </c>
      <c r="O11" s="35">
        <v>7.8600000000000003E-2</v>
      </c>
      <c r="P11" s="35">
        <v>7.8600000000000003E-2</v>
      </c>
      <c r="Q11" s="35">
        <v>7.9139000000000001E-2</v>
      </c>
      <c r="R11" s="35">
        <v>0.33762300000000001</v>
      </c>
      <c r="S11" s="35">
        <v>0.22991700000000001</v>
      </c>
      <c r="T11" s="35">
        <v>0.173457</v>
      </c>
      <c r="U11" s="35">
        <v>0.16416600000000001</v>
      </c>
      <c r="V11" s="3">
        <v>0.104864</v>
      </c>
      <c r="W11" s="3">
        <v>4.6199979999999998</v>
      </c>
      <c r="X11" s="3">
        <v>-0.6</v>
      </c>
      <c r="Y11" s="35">
        <v>-0.3</v>
      </c>
      <c r="Z11" s="35">
        <v>-0.34</v>
      </c>
      <c r="AA11" s="35">
        <v>-0.42</v>
      </c>
      <c r="AB11" s="35">
        <v>0.59</v>
      </c>
      <c r="AC11" s="3">
        <v>-0.69</v>
      </c>
      <c r="AD11" s="3">
        <v>-0.36</v>
      </c>
      <c r="AE11" s="3"/>
      <c r="AF11" s="1"/>
    </row>
    <row r="12" spans="1:32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>
        <f>(560.619*5)/1000</f>
        <v>2.8030950000000003</v>
      </c>
      <c r="I12" s="7">
        <v>2.3679999999999999</v>
      </c>
      <c r="J12" s="7">
        <v>1.7540979999999999</v>
      </c>
      <c r="K12" s="7">
        <v>-11.336024999999999</v>
      </c>
      <c r="L12" s="7">
        <v>-5.89168</v>
      </c>
      <c r="M12" s="7">
        <v>-5.1476620000000004</v>
      </c>
      <c r="N12" s="7">
        <v>2.3457379999999999</v>
      </c>
      <c r="O12" s="7">
        <v>-1.1272439999999999</v>
      </c>
      <c r="P12" s="7">
        <v>-5.9547730000000003</v>
      </c>
      <c r="Q12" s="7">
        <v>-2.2371599999999998</v>
      </c>
      <c r="R12" s="7">
        <v>-25.900008</v>
      </c>
      <c r="S12" s="7">
        <v>-9.6555210000000002</v>
      </c>
      <c r="T12" s="7">
        <v>-8.7981569999999998</v>
      </c>
      <c r="U12" s="7">
        <v>-19.617184999999999</v>
      </c>
      <c r="V12" s="7">
        <v>-7.6538729999999999</v>
      </c>
      <c r="W12" s="71">
        <v>40.578513999999998</v>
      </c>
      <c r="X12" s="7">
        <v>-3.6286200000000002</v>
      </c>
      <c r="Y12" s="7">
        <v>-1.465584</v>
      </c>
      <c r="Z12" s="7">
        <v>-3.9877479999999998</v>
      </c>
      <c r="AA12" s="7">
        <v>-1.9</v>
      </c>
      <c r="AB12" s="7">
        <v>8.2100000000000009</v>
      </c>
      <c r="AC12" s="7">
        <v>-5.47</v>
      </c>
      <c r="AD12" s="7">
        <v>-3</v>
      </c>
      <c r="AE12" s="7"/>
      <c r="AF12" s="1"/>
    </row>
    <row r="13" spans="1:32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3">
        <v>0</v>
      </c>
      <c r="I13" s="22">
        <f>((80309*5)/1000000)/I5</f>
        <v>2.012555132317562E-2</v>
      </c>
      <c r="J13" s="22">
        <f>(1513443/1000000)/J5</f>
        <v>7.585420008019246E-2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/>
      <c r="AF13" s="1"/>
    </row>
    <row r="14" spans="1:32" x14ac:dyDescent="0.3">
      <c r="A14" s="111" t="s">
        <v>14</v>
      </c>
      <c r="B14" s="14">
        <v>8</v>
      </c>
      <c r="C14" s="6" t="s">
        <v>16</v>
      </c>
      <c r="D14" s="7"/>
      <c r="E14" s="7"/>
      <c r="F14" s="7"/>
      <c r="G14" s="7"/>
      <c r="H14" s="7">
        <f>(192172*5)/1000000</f>
        <v>0.96086000000000005</v>
      </c>
      <c r="I14" s="7">
        <f>(415816*5)/1000000</f>
        <v>2.0790799999999998</v>
      </c>
      <c r="J14" s="7">
        <v>3.483006</v>
      </c>
      <c r="K14" s="43">
        <v>0.11534800000000001</v>
      </c>
      <c r="L14" s="7">
        <v>-1.545301</v>
      </c>
      <c r="M14" s="19">
        <v>-0.49729600000000002</v>
      </c>
      <c r="N14" s="7">
        <v>1.273493</v>
      </c>
      <c r="O14" s="19">
        <v>0.191022</v>
      </c>
      <c r="P14" s="19">
        <v>0.191022</v>
      </c>
      <c r="Q14" s="7">
        <v>2.7284709999999999</v>
      </c>
      <c r="R14" s="7">
        <v>-2.7221250000000001</v>
      </c>
      <c r="S14" s="7">
        <v>-17.345974999999999</v>
      </c>
      <c r="T14" s="19">
        <v>-9.6960000000000005E-2</v>
      </c>
      <c r="U14" s="19">
        <v>-0.110431</v>
      </c>
      <c r="V14" s="19">
        <v>0.10462299999999999</v>
      </c>
      <c r="W14" s="19">
        <v>0.37023499999999998</v>
      </c>
      <c r="X14" s="19">
        <v>0.3</v>
      </c>
      <c r="Y14" s="7">
        <v>0.96</v>
      </c>
      <c r="Z14" s="19">
        <v>0.32801999999999998</v>
      </c>
      <c r="AA14" s="19">
        <v>0.32</v>
      </c>
      <c r="AB14" s="19">
        <v>0.19</v>
      </c>
      <c r="AC14" s="19">
        <v>0.02</v>
      </c>
      <c r="AD14" s="21">
        <v>0.05</v>
      </c>
      <c r="AE14" s="21">
        <v>0.03</v>
      </c>
      <c r="AF14" s="20"/>
    </row>
    <row r="15" spans="1:32" x14ac:dyDescent="0.3">
      <c r="A15" s="112"/>
      <c r="B15" s="14">
        <v>7</v>
      </c>
      <c r="C15" s="1" t="s">
        <v>17</v>
      </c>
      <c r="D15" s="3"/>
      <c r="E15" s="3"/>
      <c r="F15" s="3"/>
      <c r="G15" s="3"/>
      <c r="H15" s="3">
        <f>12.22+6.359+1.599+1.053</f>
        <v>21.231000000000002</v>
      </c>
      <c r="I15" s="3">
        <f>12.22+16.111+6.857+1.681</f>
        <v>36.869</v>
      </c>
      <c r="J15" s="3">
        <f>7.232+22.279+19.252+4.988+15.212+15.464</f>
        <v>84.426999999999992</v>
      </c>
      <c r="K15" s="3">
        <f>2.444+22.223+20.986+4.888+13.932+7.24</f>
        <v>71.712999999999994</v>
      </c>
      <c r="L15" s="3">
        <f>(22.056315+19.919619+2.444309+2.011678)</f>
        <v>46.431921000000003</v>
      </c>
      <c r="M15" s="3">
        <f>25.176306+6.240744+14.436363+3.56255+4.738195</f>
        <v>54.154158000000002</v>
      </c>
      <c r="N15" s="3">
        <f>18.478803+12.609525</f>
        <v>31.088327999999997</v>
      </c>
      <c r="O15" s="3">
        <f>12.909099+12.259094</f>
        <v>25.168192999999999</v>
      </c>
      <c r="P15" s="3">
        <f>12.909099+12.259094</f>
        <v>25.168192999999999</v>
      </c>
      <c r="Q15" s="3">
        <f>13.63579+6.018447</f>
        <v>19.654237000000002</v>
      </c>
      <c r="R15" s="3">
        <f>(11.134758+3.462126+23.454385+3.917741)</f>
        <v>41.969009999999997</v>
      </c>
      <c r="S15" s="3">
        <f>(4.780763+1.262066+40.610167+6.187676)</f>
        <v>52.840671999999998</v>
      </c>
      <c r="T15" s="3">
        <f>29.875946+2.607094+17.607462+2.344525</f>
        <v>52.435026999999998</v>
      </c>
      <c r="U15" s="3">
        <f>33.533064+5.434618+13.396752+1.276074</f>
        <v>53.640508000000004</v>
      </c>
      <c r="V15" s="3">
        <f>1.544959+5.15238+42.203851+1.085745</f>
        <v>49.986935000000003</v>
      </c>
      <c r="W15" s="3">
        <f>7.633815+0.430058+3.378932</f>
        <v>11.442805</v>
      </c>
      <c r="X15" s="3">
        <v>15.56</v>
      </c>
      <c r="Y15" s="3">
        <f>9.247365+2.514228+4.259503+0.288228</f>
        <v>16.309324</v>
      </c>
      <c r="Z15" s="3">
        <f>8.464393+2.349717+4.130811+0.311234</f>
        <v>15.256155</v>
      </c>
      <c r="AA15" s="3">
        <v>15.1</v>
      </c>
      <c r="AB15" s="3">
        <v>10.89</v>
      </c>
      <c r="AC15" s="3">
        <v>11.02</v>
      </c>
      <c r="AD15" s="3">
        <v>11.49</v>
      </c>
      <c r="AE15" s="3">
        <v>11.29</v>
      </c>
      <c r="AF15" s="1"/>
    </row>
    <row r="16" spans="1:32" x14ac:dyDescent="0.3">
      <c r="A16" s="112"/>
      <c r="B16" s="14">
        <v>9</v>
      </c>
      <c r="C16" s="6" t="s">
        <v>92</v>
      </c>
      <c r="D16" s="7"/>
      <c r="E16" s="7"/>
      <c r="F16" s="7"/>
      <c r="G16" s="7"/>
      <c r="H16" s="7">
        <v>9.3960000000000002E-2</v>
      </c>
      <c r="I16" s="43">
        <v>0.10628</v>
      </c>
      <c r="J16" s="43">
        <v>0.114479</v>
      </c>
      <c r="K16" s="43">
        <v>0.128966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1"/>
    </row>
    <row r="17" spans="1:32" x14ac:dyDescent="0.3">
      <c r="A17" s="112"/>
      <c r="B17" s="14">
        <v>10</v>
      </c>
      <c r="C17" s="1" t="s">
        <v>18</v>
      </c>
      <c r="D17" s="3"/>
      <c r="E17" s="3"/>
      <c r="F17" s="3"/>
      <c r="G17" s="3"/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1"/>
    </row>
    <row r="18" spans="1:32" x14ac:dyDescent="0.3">
      <c r="A18" s="112"/>
      <c r="B18" s="14">
        <v>15</v>
      </c>
      <c r="C18" s="6" t="s">
        <v>19</v>
      </c>
      <c r="D18" s="7"/>
      <c r="E18" s="7"/>
      <c r="F18" s="7"/>
      <c r="G18" s="7"/>
      <c r="H18" s="7">
        <v>70.850999999999999</v>
      </c>
      <c r="I18" s="7">
        <v>100.699</v>
      </c>
      <c r="J18" s="7">
        <v>135.59700000000001</v>
      </c>
      <c r="K18" s="7">
        <v>148.75399999999999</v>
      </c>
      <c r="L18" s="7">
        <v>131.323747</v>
      </c>
      <c r="M18" s="7">
        <v>131.10280900000001</v>
      </c>
      <c r="N18" s="7">
        <f>77.177207</f>
        <v>77.177206999999996</v>
      </c>
      <c r="O18" s="7">
        <f>70.395596</f>
        <v>70.395595999999998</v>
      </c>
      <c r="P18" s="7">
        <v>74.495183999999995</v>
      </c>
      <c r="Q18" s="7">
        <v>60.425739999999998</v>
      </c>
      <c r="R18" s="7">
        <f>R19+22.301386</f>
        <v>75.842757000000006</v>
      </c>
      <c r="S18" s="7">
        <f>S19+13.844484</f>
        <v>81.512480999999994</v>
      </c>
      <c r="T18" s="7">
        <f>T19+41.918536</f>
        <v>81.08140800000001</v>
      </c>
      <c r="U18" s="7">
        <f>U19+46.352557</f>
        <v>81.954835000000003</v>
      </c>
      <c r="V18" s="7">
        <f>V19+14.287688</f>
        <v>82.093978000000007</v>
      </c>
      <c r="W18" s="7">
        <f>W19+21.002693</f>
        <v>36.593192999999999</v>
      </c>
      <c r="X18" s="7">
        <f>X19+22.21091</f>
        <v>34.777462</v>
      </c>
      <c r="Y18" s="7">
        <f>Y19+22.35201</f>
        <v>34.397579</v>
      </c>
      <c r="Z18" s="7">
        <f>Z19+22.578282</f>
        <v>35.006084000000001</v>
      </c>
      <c r="AA18" s="7">
        <f>AA19+20.710691</f>
        <v>35.523036000000005</v>
      </c>
      <c r="AB18" s="7">
        <v>26.13</v>
      </c>
      <c r="AC18" s="7">
        <v>29.22</v>
      </c>
      <c r="AD18" s="7">
        <v>29.48</v>
      </c>
      <c r="AE18" s="7">
        <v>28.62</v>
      </c>
      <c r="AF18" s="1"/>
    </row>
    <row r="19" spans="1:32" x14ac:dyDescent="0.3">
      <c r="A19" s="112"/>
      <c r="B19" s="14">
        <v>18</v>
      </c>
      <c r="C19" s="1" t="s">
        <v>21</v>
      </c>
      <c r="D19" s="3"/>
      <c r="E19" s="3"/>
      <c r="F19" s="3"/>
      <c r="G19" s="3"/>
      <c r="H19" s="3">
        <v>18.709</v>
      </c>
      <c r="I19" s="3">
        <v>30.733000000000001</v>
      </c>
      <c r="J19" s="3">
        <v>56.508000000000003</v>
      </c>
      <c r="K19" s="3">
        <v>65.616</v>
      </c>
      <c r="L19" s="3">
        <v>53.828408000000003</v>
      </c>
      <c r="M19" s="3">
        <v>46.639333999999998</v>
      </c>
      <c r="N19" s="3">
        <v>40.243827000000003</v>
      </c>
      <c r="O19" s="3">
        <v>40.895822000000003</v>
      </c>
      <c r="P19" s="3">
        <v>42.811577</v>
      </c>
      <c r="Q19" s="3">
        <v>31.646740000000001</v>
      </c>
      <c r="R19" s="3">
        <v>53.541370999999998</v>
      </c>
      <c r="S19" s="3">
        <v>67.667997</v>
      </c>
      <c r="T19" s="3">
        <v>39.162872</v>
      </c>
      <c r="U19" s="3">
        <v>35.602277999999998</v>
      </c>
      <c r="V19" s="3">
        <v>67.806290000000004</v>
      </c>
      <c r="W19" s="3">
        <v>15.5905</v>
      </c>
      <c r="X19" s="3">
        <v>12.566552</v>
      </c>
      <c r="Y19" s="3">
        <v>12.045569</v>
      </c>
      <c r="Z19" s="3">
        <v>12.427802</v>
      </c>
      <c r="AA19" s="3">
        <v>14.812345000000001</v>
      </c>
      <c r="AB19" s="3">
        <v>5.21</v>
      </c>
      <c r="AC19" s="3">
        <v>7.28</v>
      </c>
      <c r="AD19" s="3">
        <v>8.67</v>
      </c>
      <c r="AE19" s="3">
        <v>8.06</v>
      </c>
      <c r="AF19" s="1"/>
    </row>
    <row r="20" spans="1:32" x14ac:dyDescent="0.3">
      <c r="A20" s="112"/>
      <c r="B20" s="14">
        <v>17</v>
      </c>
      <c r="C20" s="6" t="s">
        <v>22</v>
      </c>
      <c r="D20" s="7"/>
      <c r="E20" s="7"/>
      <c r="F20" s="7"/>
      <c r="G20" s="7"/>
      <c r="H20" s="7">
        <f>16.448+2.414+1.038</f>
        <v>19.900000000000002</v>
      </c>
      <c r="I20" s="7">
        <f>3.868+26.006+2.769</f>
        <v>32.643000000000001</v>
      </c>
      <c r="J20" s="7">
        <f>5.738+21.023+4.765</f>
        <v>31.526</v>
      </c>
      <c r="K20" s="7">
        <f>4.722+25.318+2.581</f>
        <v>32.621000000000002</v>
      </c>
      <c r="L20" s="7">
        <f>(1.755558+16.853341+1.535354)</f>
        <v>20.144253000000003</v>
      </c>
      <c r="M20" s="7">
        <f>2.010077+19.613146+0.718573</f>
        <v>22.341795999999999</v>
      </c>
      <c r="N20" s="7">
        <v>29.996212</v>
      </c>
      <c r="O20" s="7">
        <v>25.311900999999999</v>
      </c>
      <c r="P20" s="7">
        <v>29.001750999999999</v>
      </c>
      <c r="Q20" s="7">
        <v>25.862846000000001</v>
      </c>
      <c r="R20" s="7">
        <v>20.512484000000001</v>
      </c>
      <c r="S20" s="7">
        <v>19.03172</v>
      </c>
      <c r="T20" s="7">
        <v>14.425965</v>
      </c>
      <c r="U20" s="7">
        <v>12.053913</v>
      </c>
      <c r="V20" s="7">
        <v>8.8417890000000003</v>
      </c>
      <c r="W20" s="7">
        <v>7.7719050000000003</v>
      </c>
      <c r="X20" s="7">
        <v>7.4453240000000003</v>
      </c>
      <c r="Y20" s="7">
        <v>6.9407860000000001</v>
      </c>
      <c r="Z20" s="7">
        <v>5.5627690000000003</v>
      </c>
      <c r="AA20" s="7">
        <v>5.4086530000000002</v>
      </c>
      <c r="AB20" s="7">
        <v>5.66</v>
      </c>
      <c r="AC20" s="7">
        <v>3.22</v>
      </c>
      <c r="AD20" s="7">
        <v>2.88</v>
      </c>
      <c r="AE20" s="7">
        <v>2.71</v>
      </c>
      <c r="AF20" s="1"/>
    </row>
    <row r="21" spans="1:32" x14ac:dyDescent="0.3">
      <c r="A21" s="112"/>
      <c r="B21" s="14">
        <v>19</v>
      </c>
      <c r="C21" s="1" t="s">
        <v>88</v>
      </c>
      <c r="D21" s="3"/>
      <c r="E21" s="3"/>
      <c r="F21" s="3"/>
      <c r="G21" s="3"/>
      <c r="H21" s="3">
        <v>2.4140000000000001</v>
      </c>
      <c r="I21" s="3">
        <v>3.8679999999999999</v>
      </c>
      <c r="J21" s="3">
        <v>5.7380000000000004</v>
      </c>
      <c r="K21" s="3">
        <v>4.4089999999999998</v>
      </c>
      <c r="L21" s="3">
        <v>1.755558</v>
      </c>
      <c r="M21" s="3">
        <v>2.0100769999999999</v>
      </c>
      <c r="N21" s="3">
        <v>1.8698539999999999</v>
      </c>
      <c r="O21" s="3">
        <v>1.921886</v>
      </c>
      <c r="P21" s="3">
        <v>1.921886</v>
      </c>
      <c r="Q21" s="3">
        <v>2.4240900000000001</v>
      </c>
      <c r="R21" s="3">
        <v>1.5716060000000001</v>
      </c>
      <c r="S21" s="3">
        <v>1.194777</v>
      </c>
      <c r="T21" s="3">
        <v>0.82027499999999998</v>
      </c>
      <c r="U21" s="3">
        <v>0.74128300000000003</v>
      </c>
      <c r="V21" s="35">
        <v>0.35391899999999998</v>
      </c>
      <c r="W21" s="35">
        <v>0.20941000000000001</v>
      </c>
      <c r="X21" s="35">
        <v>0.26311499999999999</v>
      </c>
      <c r="Y21" s="35">
        <v>0.326235</v>
      </c>
      <c r="Z21" s="35">
        <v>0.22</v>
      </c>
      <c r="AA21" s="35">
        <v>0.2</v>
      </c>
      <c r="AB21" s="35">
        <v>0.17283999999999999</v>
      </c>
      <c r="AC21" s="35">
        <v>0.09</v>
      </c>
      <c r="AD21" s="35">
        <v>0.1</v>
      </c>
      <c r="AE21" s="35">
        <v>0.09</v>
      </c>
      <c r="AF21" s="1"/>
    </row>
    <row r="22" spans="1:32" x14ac:dyDescent="0.3">
      <c r="A22" s="112"/>
      <c r="B22" s="14">
        <v>20</v>
      </c>
      <c r="C22" s="6" t="s">
        <v>87</v>
      </c>
      <c r="D22" s="7"/>
      <c r="E22" s="7"/>
      <c r="F22" s="7"/>
      <c r="G22" s="7"/>
      <c r="H22" s="7">
        <f>10.669+0.293</f>
        <v>10.962</v>
      </c>
      <c r="I22" s="7">
        <f>16.573+0.334</f>
        <v>16.907</v>
      </c>
      <c r="J22" s="7">
        <v>17.803000000000001</v>
      </c>
      <c r="K22" s="7">
        <v>22.457999999999998</v>
      </c>
      <c r="L22" s="7">
        <f>13.603219+0.126544</f>
        <v>13.729762999999998</v>
      </c>
      <c r="M22" s="7">
        <f>0.618781+3.406989+18.057284+0.104566</f>
        <v>22.187619999999995</v>
      </c>
      <c r="N22" s="7">
        <v>15.370447</v>
      </c>
      <c r="O22" s="7">
        <v>8.7291539999999994</v>
      </c>
      <c r="P22" s="7">
        <v>6.8697970000000002</v>
      </c>
      <c r="Q22" s="7">
        <v>8.2391839999999998</v>
      </c>
      <c r="R22" s="7">
        <v>13.98582</v>
      </c>
      <c r="S22" s="7">
        <v>15.124926</v>
      </c>
      <c r="T22" s="7">
        <v>10.549970999999999</v>
      </c>
      <c r="U22" s="7">
        <v>8.9675960000000003</v>
      </c>
      <c r="V22" s="7">
        <v>6.3968749999999996</v>
      </c>
      <c r="W22" s="7">
        <v>4.8784900000000002</v>
      </c>
      <c r="X22" s="7">
        <v>3.9879180000000001</v>
      </c>
      <c r="Y22" s="7">
        <v>3.8045149999999999</v>
      </c>
      <c r="Z22" s="7">
        <v>3.7912059999999999</v>
      </c>
      <c r="AA22" s="7">
        <v>3.5426169999999999</v>
      </c>
      <c r="AB22" s="7">
        <v>3.09</v>
      </c>
      <c r="AC22" s="7">
        <v>2.1800000000000002</v>
      </c>
      <c r="AD22" s="7">
        <v>2.0099999999999998</v>
      </c>
      <c r="AE22" s="7">
        <v>2.11</v>
      </c>
      <c r="AF22" s="1"/>
    </row>
    <row r="23" spans="1:32" x14ac:dyDescent="0.3">
      <c r="A23" s="112"/>
      <c r="B23" s="14">
        <v>16</v>
      </c>
      <c r="C23" s="1" t="s">
        <v>20</v>
      </c>
      <c r="D23" s="3"/>
      <c r="E23" s="3"/>
      <c r="F23" s="3"/>
      <c r="G23" s="3"/>
      <c r="H23" s="3">
        <v>29.911000000000001</v>
      </c>
      <c r="I23" s="3">
        <v>30.196000000000002</v>
      </c>
      <c r="J23" s="3">
        <v>40.558999999999997</v>
      </c>
      <c r="K23" s="3">
        <v>23.158000000000001</v>
      </c>
      <c r="L23" s="3">
        <v>17.150683999999998</v>
      </c>
      <c r="M23" s="3">
        <v>9.1235719999999993</v>
      </c>
      <c r="N23" s="3">
        <v>10.694074000000001</v>
      </c>
      <c r="O23" s="3">
        <v>9.4882299999999997</v>
      </c>
      <c r="P23" s="3">
        <v>2.9409519999999998</v>
      </c>
      <c r="Q23" s="3">
        <v>0.64370700000000003</v>
      </c>
      <c r="R23" s="3">
        <v>-0.92725599999999997</v>
      </c>
      <c r="S23" s="3">
        <v>-10.582777</v>
      </c>
      <c r="T23" s="3">
        <v>-19.380934</v>
      </c>
      <c r="U23" s="3">
        <v>-38.998119000000003</v>
      </c>
      <c r="V23" s="3">
        <v>-48.460355</v>
      </c>
      <c r="W23" s="3">
        <v>-7.8818409999999997</v>
      </c>
      <c r="X23" s="3">
        <v>-11.563869</v>
      </c>
      <c r="Y23" s="3">
        <v>-13.029453</v>
      </c>
      <c r="Z23" s="3">
        <v>-17.017199999999999</v>
      </c>
      <c r="AA23" s="3">
        <v>-18.919777</v>
      </c>
      <c r="AB23" s="3">
        <v>-10.89</v>
      </c>
      <c r="AC23" s="3">
        <v>-16.36</v>
      </c>
      <c r="AD23" s="3">
        <v>-19.36</v>
      </c>
      <c r="AE23" s="3">
        <v>-19.11</v>
      </c>
      <c r="AF23" s="1"/>
    </row>
    <row r="25" spans="1:32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</row>
    <row r="26" spans="1:32" x14ac:dyDescent="0.3">
      <c r="A26" s="6" t="s">
        <v>65</v>
      </c>
      <c r="B26" s="17" t="s">
        <v>27</v>
      </c>
      <c r="C26" s="6" t="s">
        <v>85</v>
      </c>
      <c r="D26" s="6">
        <f t="shared" ref="D26:AF26" si="0">D4*D5</f>
        <v>0</v>
      </c>
      <c r="E26" s="6">
        <f t="shared" si="0"/>
        <v>0</v>
      </c>
      <c r="F26" s="7">
        <f t="shared" si="0"/>
        <v>0</v>
      </c>
      <c r="G26" s="7">
        <f t="shared" si="0"/>
        <v>0</v>
      </c>
      <c r="H26" s="7">
        <f t="shared" si="0"/>
        <v>20.351040000000001</v>
      </c>
      <c r="I26" s="7">
        <f t="shared" si="0"/>
        <v>13.76688</v>
      </c>
      <c r="J26" s="7">
        <f t="shared" si="0"/>
        <v>10.175520000000001</v>
      </c>
      <c r="K26" s="7">
        <f t="shared" si="0"/>
        <v>5</v>
      </c>
      <c r="L26" s="7">
        <f t="shared" si="0"/>
        <v>2.9290500000000002</v>
      </c>
      <c r="M26" s="7">
        <f t="shared" si="0"/>
        <v>2.8000000000000003</v>
      </c>
      <c r="N26" s="7">
        <f t="shared" si="0"/>
        <v>4</v>
      </c>
      <c r="O26" s="7">
        <f t="shared" si="0"/>
        <v>2.8000000000000003</v>
      </c>
      <c r="P26" s="7">
        <f t="shared" si="0"/>
        <v>9.6</v>
      </c>
      <c r="Q26" s="7">
        <f t="shared" si="0"/>
        <v>10</v>
      </c>
      <c r="R26" s="7">
        <f t="shared" si="0"/>
        <v>13.068763400000002</v>
      </c>
      <c r="S26" s="7">
        <f t="shared" si="0"/>
        <v>14.9357296</v>
      </c>
      <c r="T26" s="7">
        <f t="shared" si="0"/>
        <v>9.3348309999999994</v>
      </c>
      <c r="U26" s="7">
        <f t="shared" si="0"/>
        <v>5.6008985999999998</v>
      </c>
      <c r="V26" s="7">
        <f t="shared" si="0"/>
        <v>3.7339324</v>
      </c>
      <c r="W26" s="7">
        <f t="shared" si="0"/>
        <v>3.7339324</v>
      </c>
      <c r="X26" s="7">
        <f t="shared" si="0"/>
        <v>5.6008985999999998</v>
      </c>
      <c r="Y26" s="7">
        <f t="shared" si="0"/>
        <v>5.6040000000000001</v>
      </c>
      <c r="Z26" s="7">
        <f t="shared" si="0"/>
        <v>3.7360000000000002</v>
      </c>
      <c r="AA26" s="7">
        <f t="shared" si="0"/>
        <v>1.8680000000000001</v>
      </c>
      <c r="AB26" s="36">
        <f t="shared" si="0"/>
        <v>1.6812</v>
      </c>
      <c r="AC26" s="36">
        <f t="shared" si="0"/>
        <v>1.4002499999999998</v>
      </c>
      <c r="AD26" s="36">
        <f t="shared" si="0"/>
        <v>2.0536999999999996</v>
      </c>
      <c r="AE26" s="36">
        <f t="shared" si="0"/>
        <v>1.0268499999999998</v>
      </c>
      <c r="AF26" s="36">
        <f t="shared" si="0"/>
        <v>1.0268499999999998</v>
      </c>
    </row>
    <row r="27" spans="1:32" x14ac:dyDescent="0.3">
      <c r="A27" s="1" t="s">
        <v>66</v>
      </c>
      <c r="B27" s="2" t="s">
        <v>28</v>
      </c>
      <c r="C27" s="1" t="s">
        <v>47</v>
      </c>
      <c r="D27" s="30" t="e">
        <f t="shared" ref="D27:AC27" si="1">D26/D6</f>
        <v>#DIV/0!</v>
      </c>
      <c r="E27" s="30" t="e">
        <f t="shared" si="1"/>
        <v>#DIV/0!</v>
      </c>
      <c r="F27" s="30" t="e">
        <f t="shared" si="1"/>
        <v>#DIV/0!</v>
      </c>
      <c r="G27" s="30" t="e">
        <f t="shared" si="1"/>
        <v>#DIV/0!</v>
      </c>
      <c r="H27" s="30">
        <f t="shared" si="1"/>
        <v>1.9119486928717082</v>
      </c>
      <c r="I27" s="30">
        <f t="shared" si="1"/>
        <v>0.95338504155124659</v>
      </c>
      <c r="J27" s="30">
        <f t="shared" si="1"/>
        <v>0.2615728369089691</v>
      </c>
      <c r="K27" s="30">
        <f t="shared" si="1"/>
        <v>0.12993849777011246</v>
      </c>
      <c r="L27" s="30">
        <f t="shared" si="1"/>
        <v>6.3995998362918985E-2</v>
      </c>
      <c r="M27" s="30">
        <f t="shared" si="1"/>
        <v>6.7363164902405334E-2</v>
      </c>
      <c r="N27" s="30">
        <f t="shared" si="1"/>
        <v>9.5872205418088274E-2</v>
      </c>
      <c r="O27" s="30">
        <f t="shared" si="1"/>
        <v>7.3575868124295715E-2</v>
      </c>
      <c r="P27" s="30">
        <f t="shared" si="1"/>
        <v>0.26330429278976575</v>
      </c>
      <c r="Q27" s="30">
        <f t="shared" si="1"/>
        <v>0.27774144765341668</v>
      </c>
      <c r="R27" s="30">
        <f t="shared" si="1"/>
        <v>0.34904533344728905</v>
      </c>
      <c r="S27" s="30">
        <f t="shared" si="1"/>
        <v>0.40315712075389804</v>
      </c>
      <c r="T27" s="30">
        <f t="shared" si="1"/>
        <v>0.25642298323312185</v>
      </c>
      <c r="U27" s="30">
        <f t="shared" si="1"/>
        <v>0.17642445878825166</v>
      </c>
      <c r="V27" s="30">
        <f t="shared" si="1"/>
        <v>0.1518370624632549</v>
      </c>
      <c r="W27" s="30">
        <f t="shared" si="1"/>
        <v>0.10091865476727518</v>
      </c>
      <c r="X27" s="30">
        <f t="shared" si="1"/>
        <v>0.24119130248675705</v>
      </c>
      <c r="Y27" s="30">
        <f t="shared" si="1"/>
        <v>0.25990040119457719</v>
      </c>
      <c r="Z27" s="30">
        <f t="shared" si="1"/>
        <v>0.19653282637403194</v>
      </c>
      <c r="AA27" s="30">
        <f t="shared" si="1"/>
        <v>0.10453273642977057</v>
      </c>
      <c r="AB27" s="30">
        <f t="shared" si="1"/>
        <v>6.4487917146144991E-2</v>
      </c>
      <c r="AC27" s="30">
        <f t="shared" si="1"/>
        <v>9.6039094650205742E-2</v>
      </c>
      <c r="AD27" s="30">
        <f t="shared" ref="AD27" si="2">AD26/AD6</f>
        <v>0.18875919117647055</v>
      </c>
      <c r="AE27" s="30"/>
      <c r="AF27" s="1"/>
    </row>
    <row r="28" spans="1:32" x14ac:dyDescent="0.3">
      <c r="A28" s="6" t="s">
        <v>67</v>
      </c>
      <c r="B28" s="17" t="s">
        <v>29</v>
      </c>
      <c r="C28" s="6" t="s">
        <v>48</v>
      </c>
      <c r="D28" s="29" t="e">
        <f t="shared" ref="D28:AC28" si="3">D26/D7</f>
        <v>#DIV/0!</v>
      </c>
      <c r="E28" s="29" t="e">
        <f t="shared" si="3"/>
        <v>#DIV/0!</v>
      </c>
      <c r="F28" s="29" t="e">
        <f t="shared" si="3"/>
        <v>#DIV/0!</v>
      </c>
      <c r="G28" s="29" t="e">
        <f t="shared" si="3"/>
        <v>#DIV/0!</v>
      </c>
      <c r="H28" s="29">
        <f t="shared" si="3"/>
        <v>1.3249068787798197</v>
      </c>
      <c r="I28" s="29">
        <f t="shared" si="3"/>
        <v>0.75913316790736152</v>
      </c>
      <c r="J28" s="29">
        <f t="shared" si="3"/>
        <v>0.55273717758736218</v>
      </c>
      <c r="K28" s="29">
        <f t="shared" si="3"/>
        <v>0.37279416759051276</v>
      </c>
      <c r="L28" s="29">
        <f t="shared" si="3"/>
        <v>0.25393717273310978</v>
      </c>
      <c r="M28" s="29">
        <f t="shared" si="3"/>
        <v>0.23339500796418788</v>
      </c>
      <c r="N28" s="29">
        <f t="shared" si="3"/>
        <v>0.35348142083977996</v>
      </c>
      <c r="O28" s="29">
        <f t="shared" si="3"/>
        <v>0.40832844189887313</v>
      </c>
      <c r="P28" s="29">
        <f t="shared" si="3"/>
        <v>4.5534403138838186</v>
      </c>
      <c r="Q28" s="29">
        <f t="shared" si="3"/>
        <v>1.988798292497338</v>
      </c>
      <c r="R28" s="29">
        <f t="shared" si="3"/>
        <v>-0.74915831522600562</v>
      </c>
      <c r="S28" s="29">
        <f t="shared" si="3"/>
        <v>28.433140361664798</v>
      </c>
      <c r="T28" s="29">
        <f t="shared" si="3"/>
        <v>9.5366942062639826</v>
      </c>
      <c r="U28" s="29">
        <f t="shared" si="3"/>
        <v>-0.52961015977287895</v>
      </c>
      <c r="V28" s="29">
        <f t="shared" si="3"/>
        <v>-8.3933679054638901</v>
      </c>
      <c r="W28" s="29">
        <f t="shared" si="3"/>
        <v>0.2860472525828413</v>
      </c>
      <c r="X28" s="29">
        <f t="shared" si="3"/>
        <v>-6.4378144827586201</v>
      </c>
      <c r="Y28" s="29">
        <f t="shared" si="3"/>
        <v>3.9464788732394367</v>
      </c>
      <c r="Z28" s="29">
        <f t="shared" si="3"/>
        <v>-1.8680000000000001</v>
      </c>
      <c r="AA28" s="29">
        <f t="shared" si="3"/>
        <v>4.7897435897435896</v>
      </c>
      <c r="AB28" s="29">
        <f t="shared" si="3"/>
        <v>0.22416</v>
      </c>
      <c r="AC28" s="29">
        <f t="shared" si="3"/>
        <v>-0.38895833333333324</v>
      </c>
      <c r="AD28" s="29">
        <f t="shared" ref="AD28" si="4">AD26/AD7</f>
        <v>-2.5671249999999994</v>
      </c>
      <c r="AE28" s="29"/>
      <c r="AF28" s="1"/>
    </row>
    <row r="29" spans="1:32" x14ac:dyDescent="0.3">
      <c r="A29" s="15" t="s">
        <v>68</v>
      </c>
      <c r="B29" s="2" t="s">
        <v>30</v>
      </c>
      <c r="C29" s="1" t="s">
        <v>49</v>
      </c>
      <c r="D29" s="3">
        <f t="shared" ref="D29:AC29" si="5">D15-D14</f>
        <v>0</v>
      </c>
      <c r="E29" s="3">
        <f t="shared" si="5"/>
        <v>0</v>
      </c>
      <c r="F29" s="3">
        <f t="shared" si="5"/>
        <v>0</v>
      </c>
      <c r="G29" s="3">
        <f t="shared" si="5"/>
        <v>0</v>
      </c>
      <c r="H29" s="3">
        <f t="shared" si="5"/>
        <v>20.270140000000001</v>
      </c>
      <c r="I29" s="3">
        <f t="shared" si="5"/>
        <v>34.789920000000002</v>
      </c>
      <c r="J29" s="3">
        <f t="shared" si="5"/>
        <v>80.943993999999989</v>
      </c>
      <c r="K29" s="3">
        <f t="shared" si="5"/>
        <v>71.597651999999997</v>
      </c>
      <c r="L29" s="3">
        <f t="shared" si="5"/>
        <v>47.977222000000005</v>
      </c>
      <c r="M29" s="3">
        <f t="shared" si="5"/>
        <v>54.651454000000001</v>
      </c>
      <c r="N29" s="3">
        <f t="shared" si="5"/>
        <v>29.814834999999999</v>
      </c>
      <c r="O29" s="3">
        <f t="shared" si="5"/>
        <v>24.977170999999998</v>
      </c>
      <c r="P29" s="3">
        <f t="shared" si="5"/>
        <v>24.977170999999998</v>
      </c>
      <c r="Q29" s="3">
        <f t="shared" si="5"/>
        <v>16.925766000000003</v>
      </c>
      <c r="R29" s="3">
        <f t="shared" si="5"/>
        <v>44.691134999999996</v>
      </c>
      <c r="S29" s="3">
        <f t="shared" si="5"/>
        <v>70.186646999999994</v>
      </c>
      <c r="T29" s="3">
        <f t="shared" si="5"/>
        <v>52.531987000000001</v>
      </c>
      <c r="U29" s="3">
        <f t="shared" si="5"/>
        <v>53.750939000000002</v>
      </c>
      <c r="V29" s="3">
        <f t="shared" si="5"/>
        <v>49.882312000000006</v>
      </c>
      <c r="W29" s="3">
        <f t="shared" si="5"/>
        <v>11.072570000000001</v>
      </c>
      <c r="X29" s="3">
        <f t="shared" si="5"/>
        <v>15.26</v>
      </c>
      <c r="Y29" s="3">
        <f t="shared" si="5"/>
        <v>15.349323999999999</v>
      </c>
      <c r="Z29" s="3">
        <f t="shared" si="5"/>
        <v>14.928134999999999</v>
      </c>
      <c r="AA29" s="3">
        <f t="shared" si="5"/>
        <v>14.78</v>
      </c>
      <c r="AB29" s="3">
        <f t="shared" si="5"/>
        <v>10.700000000000001</v>
      </c>
      <c r="AC29" s="3">
        <f t="shared" si="5"/>
        <v>11</v>
      </c>
      <c r="AD29" s="3">
        <f t="shared" ref="AD29" si="6">AD15-AD14</f>
        <v>11.44</v>
      </c>
      <c r="AE29" s="3"/>
      <c r="AF29" s="1"/>
    </row>
    <row r="30" spans="1:32" x14ac:dyDescent="0.3">
      <c r="A30" s="6" t="s">
        <v>69</v>
      </c>
      <c r="B30" s="17" t="s">
        <v>31</v>
      </c>
      <c r="C30" s="6" t="s">
        <v>50</v>
      </c>
      <c r="D30" s="7">
        <f t="shared" ref="D30:AC30" si="7">D26+D29+D16+D17</f>
        <v>0</v>
      </c>
      <c r="E30" s="7">
        <f t="shared" si="7"/>
        <v>0</v>
      </c>
      <c r="F30" s="7">
        <f t="shared" si="7"/>
        <v>0</v>
      </c>
      <c r="G30" s="7">
        <f t="shared" si="7"/>
        <v>0</v>
      </c>
      <c r="H30" s="7">
        <f t="shared" si="7"/>
        <v>40.715140000000005</v>
      </c>
      <c r="I30" s="7">
        <f t="shared" si="7"/>
        <v>48.663080000000001</v>
      </c>
      <c r="J30" s="7">
        <f t="shared" si="7"/>
        <v>91.233992999999998</v>
      </c>
      <c r="K30" s="7">
        <f t="shared" si="7"/>
        <v>76.726618000000002</v>
      </c>
      <c r="L30" s="7">
        <f t="shared" si="7"/>
        <v>50.906272000000001</v>
      </c>
      <c r="M30" s="7">
        <f t="shared" si="7"/>
        <v>57.451453999999998</v>
      </c>
      <c r="N30" s="7">
        <f t="shared" si="7"/>
        <v>33.814835000000002</v>
      </c>
      <c r="O30" s="7">
        <f t="shared" si="7"/>
        <v>27.777170999999999</v>
      </c>
      <c r="P30" s="7">
        <f t="shared" si="7"/>
        <v>34.577171</v>
      </c>
      <c r="Q30" s="7">
        <f t="shared" si="7"/>
        <v>26.925766000000003</v>
      </c>
      <c r="R30" s="7">
        <f t="shared" si="7"/>
        <v>57.759898399999997</v>
      </c>
      <c r="S30" s="7">
        <f t="shared" si="7"/>
        <v>85.122376599999996</v>
      </c>
      <c r="T30" s="7">
        <f t="shared" si="7"/>
        <v>61.866818000000002</v>
      </c>
      <c r="U30" s="7">
        <f t="shared" si="7"/>
        <v>59.351837600000003</v>
      </c>
      <c r="V30" s="7">
        <f t="shared" si="7"/>
        <v>53.616244400000006</v>
      </c>
      <c r="W30" s="7">
        <f t="shared" si="7"/>
        <v>14.806502400000001</v>
      </c>
      <c r="X30" s="7">
        <f t="shared" si="7"/>
        <v>20.860898599999999</v>
      </c>
      <c r="Y30" s="7">
        <f t="shared" si="7"/>
        <v>20.953323999999999</v>
      </c>
      <c r="Z30" s="7">
        <f t="shared" si="7"/>
        <v>18.664134999999998</v>
      </c>
      <c r="AA30" s="7">
        <f t="shared" si="7"/>
        <v>16.648</v>
      </c>
      <c r="AB30" s="7">
        <f t="shared" si="7"/>
        <v>12.381200000000002</v>
      </c>
      <c r="AC30" s="7">
        <f t="shared" si="7"/>
        <v>12.40025</v>
      </c>
      <c r="AD30" s="7">
        <f t="shared" ref="AD30" si="8">AD26+AD29+AD16+AD17</f>
        <v>13.493699999999999</v>
      </c>
      <c r="AE30" s="7"/>
      <c r="AF30" s="1"/>
    </row>
    <row r="31" spans="1:32" x14ac:dyDescent="0.3">
      <c r="A31" s="1" t="s">
        <v>70</v>
      </c>
      <c r="B31" s="2" t="s">
        <v>32</v>
      </c>
      <c r="C31" s="1" t="s">
        <v>51</v>
      </c>
      <c r="D31" s="30" t="e">
        <f t="shared" ref="D31:AC31" si="9">D30/D7</f>
        <v>#DIV/0!</v>
      </c>
      <c r="E31" s="30" t="e">
        <f t="shared" si="9"/>
        <v>#DIV/0!</v>
      </c>
      <c r="F31" s="30" t="e">
        <f t="shared" si="9"/>
        <v>#DIV/0!</v>
      </c>
      <c r="G31" s="30" t="e">
        <f t="shared" si="9"/>
        <v>#DIV/0!</v>
      </c>
      <c r="H31" s="30">
        <f t="shared" si="9"/>
        <v>2.6506639983255593</v>
      </c>
      <c r="I31" s="30">
        <f t="shared" si="9"/>
        <v>2.6833791011855532</v>
      </c>
      <c r="J31" s="30">
        <f t="shared" si="9"/>
        <v>4.9558567808667426</v>
      </c>
      <c r="K31" s="30">
        <f t="shared" si="9"/>
        <v>5.7206471378690509</v>
      </c>
      <c r="L31" s="30">
        <f t="shared" si="9"/>
        <v>4.4133745706159573</v>
      </c>
      <c r="M31" s="30">
        <f t="shared" si="9"/>
        <v>4.7888866299586335</v>
      </c>
      <c r="N31" s="30">
        <f t="shared" si="9"/>
        <v>2.9882289803156801</v>
      </c>
      <c r="O31" s="30">
        <f t="shared" si="9"/>
        <v>4.0507889124244869</v>
      </c>
      <c r="P31" s="30">
        <f t="shared" si="9"/>
        <v>16.400529622026507</v>
      </c>
      <c r="Q31" s="30">
        <f t="shared" si="9"/>
        <v>5.3549917444982889</v>
      </c>
      <c r="R31" s="30">
        <f t="shared" si="9"/>
        <v>-3.3110484020981858</v>
      </c>
      <c r="S31" s="30">
        <f t="shared" si="9"/>
        <v>162.04742229574717</v>
      </c>
      <c r="T31" s="30">
        <f t="shared" si="9"/>
        <v>63.204671276918489</v>
      </c>
      <c r="U31" s="30">
        <f t="shared" si="9"/>
        <v>-5.6121951920625683</v>
      </c>
      <c r="V31" s="30">
        <f t="shared" si="9"/>
        <v>-120.52196364306651</v>
      </c>
      <c r="W31" s="30">
        <f t="shared" si="9"/>
        <v>1.1342892366988877</v>
      </c>
      <c r="X31" s="30">
        <f t="shared" si="9"/>
        <v>-23.978044367816089</v>
      </c>
      <c r="Y31" s="30">
        <f t="shared" si="9"/>
        <v>14.755861971830985</v>
      </c>
      <c r="Z31" s="30">
        <f t="shared" si="9"/>
        <v>-9.3320674999999991</v>
      </c>
      <c r="AA31" s="30">
        <f t="shared" si="9"/>
        <v>42.687179487179485</v>
      </c>
      <c r="AB31" s="30">
        <f t="shared" si="9"/>
        <v>1.6508266666666669</v>
      </c>
      <c r="AC31" s="30">
        <f t="shared" si="9"/>
        <v>-3.4445138888888889</v>
      </c>
      <c r="AD31" s="30">
        <f t="shared" ref="AD31" si="10">AD30/AD7</f>
        <v>-16.867124999999998</v>
      </c>
      <c r="AE31" s="30"/>
      <c r="AF31" s="1"/>
    </row>
    <row r="32" spans="1:32" x14ac:dyDescent="0.3">
      <c r="A32" s="18" t="s">
        <v>72</v>
      </c>
      <c r="B32" s="17" t="s">
        <v>33</v>
      </c>
      <c r="C32" s="6" t="s">
        <v>109</v>
      </c>
      <c r="D32" s="27" t="e">
        <f t="shared" ref="D32:AC32" si="11">D7/D6</f>
        <v>#DIV/0!</v>
      </c>
      <c r="E32" s="27" t="e">
        <f t="shared" si="11"/>
        <v>#DIV/0!</v>
      </c>
      <c r="F32" s="27" t="e">
        <f t="shared" si="11"/>
        <v>#DIV/0!</v>
      </c>
      <c r="G32" s="27" t="e">
        <f t="shared" si="11"/>
        <v>#DIV/0!</v>
      </c>
      <c r="H32" s="27">
        <f t="shared" si="11"/>
        <v>1.4430815655757843</v>
      </c>
      <c r="I32" s="27">
        <f t="shared" si="11"/>
        <v>1.2558864265927976</v>
      </c>
      <c r="J32" s="27">
        <f t="shared" si="11"/>
        <v>0.47323184963006493</v>
      </c>
      <c r="K32" s="27">
        <f t="shared" si="11"/>
        <v>0.34855292562634838</v>
      </c>
      <c r="L32" s="27">
        <f t="shared" si="11"/>
        <v>0.25201508575579579</v>
      </c>
      <c r="M32" s="27">
        <f t="shared" si="11"/>
        <v>0.28862298936891373</v>
      </c>
      <c r="N32" s="27">
        <f t="shared" si="11"/>
        <v>0.271222756744388</v>
      </c>
      <c r="O32" s="27">
        <f t="shared" si="11"/>
        <v>0.18018795796379414</v>
      </c>
      <c r="P32" s="27">
        <f t="shared" si="11"/>
        <v>5.7825352840780421E-2</v>
      </c>
      <c r="Q32" s="27">
        <f t="shared" si="11"/>
        <v>0.13965289929158989</v>
      </c>
      <c r="R32" s="27">
        <f t="shared" si="11"/>
        <v>-0.46591665119807052</v>
      </c>
      <c r="S32" s="27">
        <f t="shared" si="11"/>
        <v>1.4179127441633486E-2</v>
      </c>
      <c r="T32" s="27">
        <f t="shared" si="11"/>
        <v>2.6888036639016451E-2</v>
      </c>
      <c r="U32" s="27">
        <f t="shared" si="11"/>
        <v>-0.33312136395553765</v>
      </c>
      <c r="V32" s="27">
        <f t="shared" si="11"/>
        <v>-1.8090123556291682E-2</v>
      </c>
      <c r="W32" s="27">
        <f t="shared" si="11"/>
        <v>0.35280413937221244</v>
      </c>
      <c r="X32" s="27">
        <f t="shared" si="11"/>
        <v>-3.746477987719303E-2</v>
      </c>
      <c r="Y32" s="27">
        <f t="shared" si="11"/>
        <v>6.5856275820181942E-2</v>
      </c>
      <c r="Z32" s="27">
        <f t="shared" si="11"/>
        <v>-0.10521029249145179</v>
      </c>
      <c r="AA32" s="27">
        <f t="shared" si="11"/>
        <v>2.1824286513710128E-2</v>
      </c>
      <c r="AB32" s="27">
        <f t="shared" si="11"/>
        <v>0.28768699654775604</v>
      </c>
      <c r="AC32" s="27">
        <f t="shared" si="11"/>
        <v>-0.24691358024691359</v>
      </c>
      <c r="AD32" s="27">
        <f t="shared" ref="AD32" si="12">AD7/AD6</f>
        <v>-7.3529411764705885E-2</v>
      </c>
      <c r="AE32" s="27"/>
      <c r="AF32" s="1"/>
    </row>
    <row r="33" spans="1:32" x14ac:dyDescent="0.3">
      <c r="A33" s="16" t="s">
        <v>73</v>
      </c>
      <c r="B33" s="2" t="s">
        <v>34</v>
      </c>
      <c r="C33" s="1" t="s">
        <v>110</v>
      </c>
      <c r="D33" s="28" t="e">
        <f t="shared" ref="D33:AC33" si="13">D8/D6</f>
        <v>#DIV/0!</v>
      </c>
      <c r="E33" s="28" t="e">
        <f t="shared" si="13"/>
        <v>#DIV/0!</v>
      </c>
      <c r="F33" s="28" t="e">
        <f t="shared" si="13"/>
        <v>#DIV/0!</v>
      </c>
      <c r="G33" s="28" t="e">
        <f t="shared" si="13"/>
        <v>#DIV/0!</v>
      </c>
      <c r="H33" s="28">
        <f t="shared" si="13"/>
        <v>0.73989149893345019</v>
      </c>
      <c r="I33" s="28">
        <f t="shared" si="13"/>
        <v>0.55782548476454297</v>
      </c>
      <c r="J33" s="28">
        <f t="shared" si="13"/>
        <v>0.21611953352597305</v>
      </c>
      <c r="K33" s="28">
        <f t="shared" si="13"/>
        <v>5.0577962539926524E-2</v>
      </c>
      <c r="L33" s="28">
        <f t="shared" si="13"/>
        <v>5.247835731172279E-2</v>
      </c>
      <c r="M33" s="28">
        <f t="shared" si="13"/>
        <v>7.3540896405965853E-2</v>
      </c>
      <c r="N33" s="28">
        <f t="shared" si="13"/>
        <v>0.10894761631377746</v>
      </c>
      <c r="O33" s="28">
        <f t="shared" si="13"/>
        <v>3.1372592505625137E-2</v>
      </c>
      <c r="P33" s="28">
        <f t="shared" si="13"/>
        <v>-9.7505282336667623E-2</v>
      </c>
      <c r="Q33" s="28">
        <f t="shared" si="13"/>
        <v>-1.3584778591044856E-2</v>
      </c>
      <c r="R33" s="28">
        <f t="shared" si="13"/>
        <v>-0.61170106926948609</v>
      </c>
      <c r="S33" s="28">
        <f t="shared" si="13"/>
        <v>-0.18171389146520142</v>
      </c>
      <c r="T33" s="28">
        <f t="shared" si="13"/>
        <v>-0.16942155366627773</v>
      </c>
      <c r="U33" s="28">
        <f t="shared" si="13"/>
        <v>-0.51825879734866509</v>
      </c>
      <c r="V33" s="28">
        <f t="shared" si="13"/>
        <v>-0.20266080767231032</v>
      </c>
      <c r="W33" s="28">
        <f t="shared" si="13"/>
        <v>0.25069363912041126</v>
      </c>
      <c r="X33" s="28">
        <f t="shared" si="13"/>
        <v>-0.16233291031147012</v>
      </c>
      <c r="Y33" s="28">
        <f t="shared" si="13"/>
        <v>2.8041323978279303E-3</v>
      </c>
      <c r="Z33" s="28">
        <f t="shared" si="13"/>
        <v>-0.17299654747164672</v>
      </c>
      <c r="AA33" s="28">
        <f t="shared" si="13"/>
        <v>-4.0910408505875767E-2</v>
      </c>
      <c r="AB33" s="28">
        <f t="shared" si="13"/>
        <v>0.24741081703107021</v>
      </c>
      <c r="AC33" s="28">
        <f t="shared" si="13"/>
        <v>-0.32853223593964337</v>
      </c>
      <c r="AD33" s="28">
        <f t="shared" ref="AD33" si="14">AD8/AD6</f>
        <v>-0.17463235294117646</v>
      </c>
      <c r="AE33" s="28"/>
      <c r="AF33" s="1"/>
    </row>
    <row r="34" spans="1:32" x14ac:dyDescent="0.3">
      <c r="A34" s="18" t="s">
        <v>74</v>
      </c>
      <c r="B34" s="17" t="s">
        <v>35</v>
      </c>
      <c r="C34" s="6" t="s">
        <v>54</v>
      </c>
      <c r="D34" s="27" t="e">
        <f t="shared" ref="D34:AC34" si="15">D11/D10</f>
        <v>#DIV/0!</v>
      </c>
      <c r="E34" s="27" t="e">
        <f t="shared" si="15"/>
        <v>#DIV/0!</v>
      </c>
      <c r="F34" s="27" t="e">
        <f t="shared" si="15"/>
        <v>#DIV/0!</v>
      </c>
      <c r="G34" s="27" t="e">
        <f t="shared" si="15"/>
        <v>#DIV/0!</v>
      </c>
      <c r="H34" s="27">
        <f t="shared" si="15"/>
        <v>4.756632089221554E-2</v>
      </c>
      <c r="I34" s="27">
        <f t="shared" si="15"/>
        <v>8.53872889771599E-2</v>
      </c>
      <c r="J34" s="27">
        <f t="shared" si="15"/>
        <v>0.20722826135741407</v>
      </c>
      <c r="K34" s="27">
        <f t="shared" si="15"/>
        <v>-4.3511222763431806E-2</v>
      </c>
      <c r="L34" s="27">
        <f t="shared" si="15"/>
        <v>0.16471107844608804</v>
      </c>
      <c r="M34" s="27">
        <f t="shared" si="15"/>
        <v>0.13682522279046291</v>
      </c>
      <c r="N34" s="27">
        <f t="shared" si="15"/>
        <v>2.7130054592627142E-2</v>
      </c>
      <c r="O34" s="27">
        <f t="shared" si="15"/>
        <v>-6.9727583380350663E-2</v>
      </c>
      <c r="P34" s="27">
        <f t="shared" si="15"/>
        <v>-1.3376052747255741E-2</v>
      </c>
      <c r="Q34" s="27">
        <f t="shared" si="15"/>
        <v>-3.5203852633049246E-2</v>
      </c>
      <c r="R34" s="27">
        <f t="shared" si="15"/>
        <v>-1.3207805140248064E-2</v>
      </c>
      <c r="S34" s="27">
        <f t="shared" si="15"/>
        <v>-2.4392813447286776E-2</v>
      </c>
      <c r="T34" s="27">
        <f t="shared" si="15"/>
        <v>-2.0111656057602002E-2</v>
      </c>
      <c r="U34" s="27">
        <f t="shared" si="15"/>
        <v>-8.4391014063164172E-3</v>
      </c>
      <c r="V34" s="27">
        <f t="shared" si="15"/>
        <v>-1.3891094844369638E-2</v>
      </c>
      <c r="W34" s="27">
        <f t="shared" si="15"/>
        <v>-0.10221571011010273</v>
      </c>
      <c r="X34" s="27">
        <f>X11/X9</f>
        <v>-0.83333333333333337</v>
      </c>
      <c r="Y34" s="27">
        <f>Y11/Y9</f>
        <v>0.41666666666666669</v>
      </c>
      <c r="Z34" s="27">
        <f t="shared" si="15"/>
        <v>7.8504643549665964E-2</v>
      </c>
      <c r="AA34" s="27">
        <f t="shared" si="15"/>
        <v>0.18103448275862069</v>
      </c>
      <c r="AB34" s="27">
        <f t="shared" si="15"/>
        <v>6.6969353007945515E-2</v>
      </c>
      <c r="AC34" s="27">
        <f t="shared" si="15"/>
        <v>0.11201298701298701</v>
      </c>
      <c r="AD34" s="27">
        <f t="shared" ref="AD34" si="16">AD11/AD10</f>
        <v>0.10714285714285714</v>
      </c>
      <c r="AE34" s="27"/>
      <c r="AF34" s="1"/>
    </row>
    <row r="35" spans="1:32" x14ac:dyDescent="0.3">
      <c r="A35" s="16" t="s">
        <v>75</v>
      </c>
      <c r="B35" s="2" t="s">
        <v>36</v>
      </c>
      <c r="C35" s="1" t="s">
        <v>108</v>
      </c>
      <c r="D35" s="28" t="e">
        <f t="shared" ref="D35:AC35" si="17">D12/D6</f>
        <v>#DIV/0!</v>
      </c>
      <c r="E35" s="28" t="e">
        <f t="shared" si="17"/>
        <v>#DIV/0!</v>
      </c>
      <c r="F35" s="28" t="e">
        <f t="shared" si="17"/>
        <v>#DIV/0!</v>
      </c>
      <c r="G35" s="28" t="e">
        <f t="shared" si="17"/>
        <v>#DIV/0!</v>
      </c>
      <c r="H35" s="28">
        <f t="shared" si="17"/>
        <v>0.26334643444488448</v>
      </c>
      <c r="I35" s="28">
        <f t="shared" si="17"/>
        <v>0.16398891966759002</v>
      </c>
      <c r="J35" s="28">
        <f t="shared" si="17"/>
        <v>4.5091001745006527E-2</v>
      </c>
      <c r="K35" s="28">
        <f t="shared" si="17"/>
        <v>-0.29459721183688775</v>
      </c>
      <c r="L35" s="28">
        <f t="shared" si="17"/>
        <v>-0.12872567680129821</v>
      </c>
      <c r="M35" s="28">
        <f t="shared" si="17"/>
        <v>-0.12384385863137345</v>
      </c>
      <c r="N35" s="28">
        <f t="shared" si="17"/>
        <v>5.6222768848253883E-2</v>
      </c>
      <c r="O35" s="28">
        <f t="shared" si="17"/>
        <v>-2.9620698531394134E-2</v>
      </c>
      <c r="P35" s="28">
        <f t="shared" si="17"/>
        <v>-0.16332471807172833</v>
      </c>
      <c r="Q35" s="28">
        <f t="shared" si="17"/>
        <v>-6.2135205703231763E-2</v>
      </c>
      <c r="R35" s="28">
        <f t="shared" si="17"/>
        <v>-0.69174692753619316</v>
      </c>
      <c r="S35" s="28">
        <f t="shared" si="17"/>
        <v>-0.26062952061871808</v>
      </c>
      <c r="T35" s="28">
        <f t="shared" si="17"/>
        <v>-0.24168082581177677</v>
      </c>
      <c r="U35" s="28">
        <f t="shared" si="17"/>
        <v>-0.61792785296523822</v>
      </c>
      <c r="V35" s="28">
        <f t="shared" si="17"/>
        <v>-0.31123798405852771</v>
      </c>
      <c r="W35" s="28">
        <f t="shared" si="17"/>
        <v>1.0967335791443473</v>
      </c>
      <c r="X35" s="28">
        <f t="shared" si="17"/>
        <v>-0.15625913742296574</v>
      </c>
      <c r="Y35" s="28">
        <f t="shared" si="17"/>
        <v>-6.7970355029327842E-2</v>
      </c>
      <c r="Z35" s="28">
        <f t="shared" si="17"/>
        <v>-0.20977606673110094</v>
      </c>
      <c r="AA35" s="28">
        <f t="shared" si="17"/>
        <v>-0.10632344711807498</v>
      </c>
      <c r="AB35" s="28">
        <f t="shared" si="17"/>
        <v>0.31492136555427697</v>
      </c>
      <c r="AC35" s="28">
        <f t="shared" si="17"/>
        <v>-0.37517146776406035</v>
      </c>
      <c r="AD35" s="28">
        <f t="shared" ref="AD35" si="18">AD12/AD6</f>
        <v>-0.27573529411764702</v>
      </c>
      <c r="AE35" s="28"/>
      <c r="AF35" s="1"/>
    </row>
    <row r="36" spans="1:32" x14ac:dyDescent="0.3">
      <c r="A36" s="18" t="s">
        <v>76</v>
      </c>
      <c r="B36" s="17" t="s">
        <v>37</v>
      </c>
      <c r="C36" s="6" t="s">
        <v>56</v>
      </c>
      <c r="D36" s="29" t="e">
        <f t="shared" ref="D36:G36" si="19">D26/D12</f>
        <v>#DIV/0!</v>
      </c>
      <c r="E36" s="29" t="e">
        <f t="shared" si="19"/>
        <v>#DIV/0!</v>
      </c>
      <c r="F36" s="29" t="e">
        <f t="shared" si="19"/>
        <v>#DIV/0!</v>
      </c>
      <c r="G36" s="29" t="e">
        <f t="shared" si="19"/>
        <v>#DIV/0!</v>
      </c>
      <c r="H36" s="29">
        <f t="shared" ref="H36:AC36" si="20">IF(H26/H12&lt;0,0,H26/H12)</f>
        <v>7.2602034536824469</v>
      </c>
      <c r="I36" s="29">
        <f t="shared" si="20"/>
        <v>5.8137162162162168</v>
      </c>
      <c r="J36" s="29">
        <f t="shared" si="20"/>
        <v>5.8009985759062497</v>
      </c>
      <c r="K36" s="29">
        <f t="shared" si="20"/>
        <v>0</v>
      </c>
      <c r="L36" s="29">
        <f t="shared" si="20"/>
        <v>0</v>
      </c>
      <c r="M36" s="29">
        <f t="shared" si="20"/>
        <v>0</v>
      </c>
      <c r="N36" s="29">
        <f t="shared" si="20"/>
        <v>1.705220276092215</v>
      </c>
      <c r="O36" s="29">
        <f t="shared" si="20"/>
        <v>0</v>
      </c>
      <c r="P36" s="29">
        <f t="shared" si="20"/>
        <v>0</v>
      </c>
      <c r="Q36" s="29">
        <f t="shared" si="20"/>
        <v>0</v>
      </c>
      <c r="R36" s="29">
        <f t="shared" si="20"/>
        <v>0</v>
      </c>
      <c r="S36" s="29">
        <f t="shared" si="20"/>
        <v>0</v>
      </c>
      <c r="T36" s="29">
        <f t="shared" si="20"/>
        <v>0</v>
      </c>
      <c r="U36" s="29">
        <f t="shared" si="20"/>
        <v>0</v>
      </c>
      <c r="V36" s="29">
        <f t="shared" si="20"/>
        <v>0</v>
      </c>
      <c r="W36" s="29">
        <f t="shared" si="20"/>
        <v>9.2017475060816672E-2</v>
      </c>
      <c r="X36" s="29">
        <f t="shared" si="20"/>
        <v>0</v>
      </c>
      <c r="Y36" s="29">
        <f t="shared" si="20"/>
        <v>0</v>
      </c>
      <c r="Z36" s="29">
        <f t="shared" si="20"/>
        <v>0</v>
      </c>
      <c r="AA36" s="29">
        <f t="shared" si="20"/>
        <v>0</v>
      </c>
      <c r="AB36" s="29">
        <f t="shared" si="20"/>
        <v>0.20477466504263092</v>
      </c>
      <c r="AC36" s="29">
        <f t="shared" si="20"/>
        <v>0</v>
      </c>
      <c r="AD36" s="29">
        <f t="shared" ref="AD36" si="21">IF(AD26/AD12&lt;0,0,AD26/AD12)</f>
        <v>0</v>
      </c>
      <c r="AE36" s="29"/>
      <c r="AF36" s="1"/>
    </row>
    <row r="37" spans="1:32" x14ac:dyDescent="0.3">
      <c r="A37" s="16" t="s">
        <v>77</v>
      </c>
      <c r="B37" s="2" t="s">
        <v>38</v>
      </c>
      <c r="C37" s="1" t="s">
        <v>57</v>
      </c>
      <c r="D37" s="30" t="e">
        <f t="shared" ref="D37:AC37" si="22">D26/D23</f>
        <v>#DIV/0!</v>
      </c>
      <c r="E37" s="30" t="e">
        <f t="shared" si="22"/>
        <v>#DIV/0!</v>
      </c>
      <c r="F37" s="30" t="e">
        <f t="shared" si="22"/>
        <v>#DIV/0!</v>
      </c>
      <c r="G37" s="30" t="e">
        <f t="shared" si="22"/>
        <v>#DIV/0!</v>
      </c>
      <c r="H37" s="30">
        <f t="shared" si="22"/>
        <v>0.6803864798903414</v>
      </c>
      <c r="I37" s="30">
        <f t="shared" si="22"/>
        <v>0.45591734004503909</v>
      </c>
      <c r="J37" s="30">
        <f t="shared" si="22"/>
        <v>0.25088192509677265</v>
      </c>
      <c r="K37" s="30">
        <f t="shared" si="22"/>
        <v>0.21590810950859313</v>
      </c>
      <c r="L37" s="30">
        <f t="shared" si="22"/>
        <v>0.17078327604893195</v>
      </c>
      <c r="M37" s="30">
        <f t="shared" si="22"/>
        <v>0.30689734240054228</v>
      </c>
      <c r="N37" s="30">
        <f t="shared" si="22"/>
        <v>0.37403893034590929</v>
      </c>
      <c r="O37" s="30">
        <f t="shared" si="22"/>
        <v>0.29510245851966072</v>
      </c>
      <c r="P37" s="30">
        <f t="shared" si="22"/>
        <v>3.2642491274934105</v>
      </c>
      <c r="Q37" s="30">
        <f t="shared" si="22"/>
        <v>15.535018261413965</v>
      </c>
      <c r="R37" s="30">
        <f t="shared" si="22"/>
        <v>-14.094018696023538</v>
      </c>
      <c r="S37" s="30">
        <f t="shared" si="22"/>
        <v>-1.4113242299256612</v>
      </c>
      <c r="T37" s="30">
        <f t="shared" si="22"/>
        <v>-0.48165021355523935</v>
      </c>
      <c r="U37" s="30">
        <f t="shared" si="22"/>
        <v>-0.14361971150454717</v>
      </c>
      <c r="V37" s="30">
        <f t="shared" si="22"/>
        <v>-7.7051280371346842E-2</v>
      </c>
      <c r="W37" s="30">
        <f t="shared" si="22"/>
        <v>-0.47373861005315893</v>
      </c>
      <c r="X37" s="30">
        <f t="shared" si="22"/>
        <v>-0.48434469466923219</v>
      </c>
      <c r="Y37" s="30">
        <f t="shared" si="22"/>
        <v>-0.43010247628968001</v>
      </c>
      <c r="Z37" s="30">
        <f t="shared" si="22"/>
        <v>-0.21954258044801733</v>
      </c>
      <c r="AA37" s="30">
        <f t="shared" si="22"/>
        <v>-9.8732664766609038E-2</v>
      </c>
      <c r="AB37" s="30">
        <f t="shared" si="22"/>
        <v>-0.15438016528925619</v>
      </c>
      <c r="AC37" s="30">
        <f t="shared" si="22"/>
        <v>-8.5589853300733487E-2</v>
      </c>
      <c r="AD37" s="30">
        <f t="shared" ref="AD37" si="23">AD26/AD23</f>
        <v>-0.10607954545454544</v>
      </c>
      <c r="AE37" s="30"/>
      <c r="AF37" s="1"/>
    </row>
    <row r="38" spans="1:32" x14ac:dyDescent="0.3">
      <c r="A38" s="18" t="s">
        <v>78</v>
      </c>
      <c r="B38" s="17" t="s">
        <v>39</v>
      </c>
      <c r="C38" s="6" t="s">
        <v>106</v>
      </c>
      <c r="D38" s="55" t="e">
        <f t="shared" ref="D38:AC38" si="24">D8/D23</f>
        <v>#DIV/0!</v>
      </c>
      <c r="E38" s="55" t="e">
        <f t="shared" si="24"/>
        <v>#DIV/0!</v>
      </c>
      <c r="F38" s="55" t="e">
        <f t="shared" si="24"/>
        <v>#DIV/0!</v>
      </c>
      <c r="G38" s="55" t="e">
        <f t="shared" si="24"/>
        <v>#DIV/0!</v>
      </c>
      <c r="H38" s="55">
        <f t="shared" si="24"/>
        <v>0.26329795058674066</v>
      </c>
      <c r="I38" s="55">
        <f t="shared" si="24"/>
        <v>0.26675718638230228</v>
      </c>
      <c r="J38" s="55">
        <f t="shared" si="24"/>
        <v>0.20728637293818883</v>
      </c>
      <c r="K38" s="55">
        <f t="shared" si="24"/>
        <v>8.4041238448916131E-2</v>
      </c>
      <c r="L38" s="55">
        <f t="shared" si="24"/>
        <v>0.14004665936355659</v>
      </c>
      <c r="M38" s="55">
        <f t="shared" si="24"/>
        <v>0.33504224003493371</v>
      </c>
      <c r="N38" s="55">
        <f t="shared" si="24"/>
        <v>0.42505176231247321</v>
      </c>
      <c r="O38" s="55">
        <f t="shared" si="24"/>
        <v>0.12583105595037219</v>
      </c>
      <c r="P38" s="55">
        <f t="shared" si="24"/>
        <v>-1.2087973554141653</v>
      </c>
      <c r="Q38" s="55">
        <f t="shared" si="24"/>
        <v>-0.75984259919497532</v>
      </c>
      <c r="R38" s="55">
        <f t="shared" si="24"/>
        <v>24.699732328504751</v>
      </c>
      <c r="S38" s="55">
        <f t="shared" si="24"/>
        <v>0.63612225789128884</v>
      </c>
      <c r="T38" s="55">
        <f t="shared" si="24"/>
        <v>0.31823172195932353</v>
      </c>
      <c r="U38" s="55">
        <f t="shared" si="24"/>
        <v>0.42189263025737217</v>
      </c>
      <c r="V38" s="55">
        <f t="shared" si="24"/>
        <v>0.10284231306188325</v>
      </c>
      <c r="W38" s="55">
        <f t="shared" si="24"/>
        <v>-1.1768216334229529</v>
      </c>
      <c r="X38" s="55">
        <f t="shared" si="24"/>
        <v>0.32598639780509447</v>
      </c>
      <c r="Y38" s="55">
        <f t="shared" si="24"/>
        <v>-4.6404864425237191E-3</v>
      </c>
      <c r="Z38" s="55">
        <f t="shared" si="24"/>
        <v>0.19325071104529537</v>
      </c>
      <c r="AA38" s="55">
        <f t="shared" si="24"/>
        <v>3.8640466005492556E-2</v>
      </c>
      <c r="AB38" s="55">
        <f t="shared" si="24"/>
        <v>-0.59228650137741046</v>
      </c>
      <c r="AC38" s="55">
        <f t="shared" si="24"/>
        <v>0.29278728606356969</v>
      </c>
      <c r="AD38" s="55">
        <f t="shared" ref="AD38" si="25">AD8/AD23</f>
        <v>9.8140495867768587E-2</v>
      </c>
      <c r="AE38" s="55"/>
      <c r="AF38" s="1"/>
    </row>
    <row r="39" spans="1:32" x14ac:dyDescent="0.3">
      <c r="A39" s="16" t="s">
        <v>79</v>
      </c>
      <c r="B39" s="2" t="s">
        <v>40</v>
      </c>
      <c r="C39" s="1" t="s">
        <v>107</v>
      </c>
      <c r="D39" s="56" t="e">
        <f t="shared" ref="D39:AC39" si="26">D12/D23</f>
        <v>#DIV/0!</v>
      </c>
      <c r="E39" s="56" t="e">
        <f t="shared" si="26"/>
        <v>#DIV/0!</v>
      </c>
      <c r="F39" s="56" t="e">
        <f t="shared" si="26"/>
        <v>#DIV/0!</v>
      </c>
      <c r="G39" s="56" t="e">
        <f t="shared" si="26"/>
        <v>#DIV/0!</v>
      </c>
      <c r="H39" s="56">
        <f t="shared" si="26"/>
        <v>9.3714519741900981E-2</v>
      </c>
      <c r="I39" s="56">
        <f t="shared" si="26"/>
        <v>7.8420982911643913E-2</v>
      </c>
      <c r="J39" s="56">
        <f t="shared" si="26"/>
        <v>4.3248058384082452E-2</v>
      </c>
      <c r="K39" s="56">
        <f t="shared" si="26"/>
        <v>-0.48950794541842985</v>
      </c>
      <c r="L39" s="56">
        <f t="shared" si="26"/>
        <v>-0.34352449150133024</v>
      </c>
      <c r="M39" s="56">
        <f t="shared" si="26"/>
        <v>-0.56421563834866439</v>
      </c>
      <c r="N39" s="56">
        <f t="shared" si="26"/>
        <v>0.21934933309793814</v>
      </c>
      <c r="O39" s="56">
        <f t="shared" si="26"/>
        <v>-0.1188044556255487</v>
      </c>
      <c r="P39" s="56">
        <f t="shared" si="26"/>
        <v>-2.0247773510074292</v>
      </c>
      <c r="Q39" s="56">
        <f t="shared" si="26"/>
        <v>-3.4754321453704864</v>
      </c>
      <c r="R39" s="56">
        <f t="shared" si="26"/>
        <v>27.931885045769455</v>
      </c>
      <c r="S39" s="56">
        <f t="shared" si="26"/>
        <v>0.91238065396256585</v>
      </c>
      <c r="T39" s="56">
        <f t="shared" si="26"/>
        <v>0.45395939122438578</v>
      </c>
      <c r="U39" s="56">
        <f t="shared" si="26"/>
        <v>0.50302900506560322</v>
      </c>
      <c r="V39" s="56">
        <f t="shared" si="26"/>
        <v>0.15794091892228193</v>
      </c>
      <c r="W39" s="56">
        <f t="shared" si="26"/>
        <v>-5.148354806954365</v>
      </c>
      <c r="X39" s="56">
        <f t="shared" si="26"/>
        <v>0.31378944192467073</v>
      </c>
      <c r="Y39" s="56">
        <f t="shared" si="26"/>
        <v>0.11248238893835374</v>
      </c>
      <c r="Z39" s="56">
        <f t="shared" si="26"/>
        <v>0.23433631854829232</v>
      </c>
      <c r="AA39" s="56">
        <f t="shared" si="26"/>
        <v>0.10042401662556594</v>
      </c>
      <c r="AB39" s="56">
        <f t="shared" si="26"/>
        <v>-0.75390266299357211</v>
      </c>
      <c r="AC39" s="56">
        <f t="shared" si="26"/>
        <v>0.33435207823960877</v>
      </c>
      <c r="AD39" s="56">
        <f t="shared" ref="AD39" si="27">AD12/AD23</f>
        <v>0.15495867768595042</v>
      </c>
      <c r="AE39" s="56"/>
      <c r="AF39" s="1"/>
    </row>
    <row r="40" spans="1:32" x14ac:dyDescent="0.3">
      <c r="A40" s="18" t="s">
        <v>80</v>
      </c>
      <c r="B40" s="17" t="s">
        <v>41</v>
      </c>
      <c r="C40" s="6" t="s">
        <v>61</v>
      </c>
      <c r="D40" s="7">
        <f t="shared" ref="D40:AC40" si="28">D20-D19</f>
        <v>0</v>
      </c>
      <c r="E40" s="7">
        <f t="shared" si="28"/>
        <v>0</v>
      </c>
      <c r="F40" s="7">
        <f t="shared" si="28"/>
        <v>0</v>
      </c>
      <c r="G40" s="7">
        <f t="shared" si="28"/>
        <v>0</v>
      </c>
      <c r="H40" s="7">
        <f t="shared" si="28"/>
        <v>1.1910000000000025</v>
      </c>
      <c r="I40" s="7">
        <f t="shared" si="28"/>
        <v>1.9100000000000001</v>
      </c>
      <c r="J40" s="7">
        <f t="shared" si="28"/>
        <v>-24.982000000000003</v>
      </c>
      <c r="K40" s="7">
        <f t="shared" si="28"/>
        <v>-32.994999999999997</v>
      </c>
      <c r="L40" s="7">
        <f t="shared" si="28"/>
        <v>-33.684155000000004</v>
      </c>
      <c r="M40" s="7">
        <f t="shared" si="28"/>
        <v>-24.297537999999999</v>
      </c>
      <c r="N40" s="7">
        <f t="shared" si="28"/>
        <v>-10.247615000000003</v>
      </c>
      <c r="O40" s="7">
        <f t="shared" si="28"/>
        <v>-15.583921000000004</v>
      </c>
      <c r="P40" s="7">
        <f t="shared" si="28"/>
        <v>-13.809826000000001</v>
      </c>
      <c r="Q40" s="7">
        <f t="shared" si="28"/>
        <v>-5.7838940000000001</v>
      </c>
      <c r="R40" s="7">
        <f t="shared" si="28"/>
        <v>-33.028886999999997</v>
      </c>
      <c r="S40" s="7">
        <f t="shared" si="28"/>
        <v>-48.636277</v>
      </c>
      <c r="T40" s="7">
        <f t="shared" si="28"/>
        <v>-24.736907000000002</v>
      </c>
      <c r="U40" s="7">
        <f t="shared" si="28"/>
        <v>-23.548364999999997</v>
      </c>
      <c r="V40" s="7">
        <f t="shared" si="28"/>
        <v>-58.964501000000006</v>
      </c>
      <c r="W40" s="7">
        <f t="shared" si="28"/>
        <v>-7.8185950000000002</v>
      </c>
      <c r="X40" s="7">
        <f t="shared" si="28"/>
        <v>-5.1212279999999994</v>
      </c>
      <c r="Y40" s="7">
        <f t="shared" si="28"/>
        <v>-5.1047830000000003</v>
      </c>
      <c r="Z40" s="7">
        <f t="shared" si="28"/>
        <v>-6.8650329999999995</v>
      </c>
      <c r="AA40" s="7">
        <f t="shared" si="28"/>
        <v>-9.4036919999999995</v>
      </c>
      <c r="AB40" s="7">
        <f t="shared" si="28"/>
        <v>0.45000000000000018</v>
      </c>
      <c r="AC40" s="7">
        <f t="shared" si="28"/>
        <v>-4.0600000000000005</v>
      </c>
      <c r="AD40" s="7">
        <f t="shared" ref="AD40" si="29">AD20-AD19</f>
        <v>-5.79</v>
      </c>
      <c r="AE40" s="7"/>
      <c r="AF40" s="1"/>
    </row>
    <row r="41" spans="1:32" x14ac:dyDescent="0.3">
      <c r="A41" s="53" t="s">
        <v>96</v>
      </c>
      <c r="B41" s="49" t="s">
        <v>42</v>
      </c>
      <c r="C41" s="52" t="s">
        <v>98</v>
      </c>
      <c r="D41" s="29" t="e">
        <f t="shared" ref="D41:L41" si="30">D20/D19</f>
        <v>#DIV/0!</v>
      </c>
      <c r="E41" s="29" t="e">
        <f t="shared" si="30"/>
        <v>#DIV/0!</v>
      </c>
      <c r="F41" s="29" t="e">
        <f t="shared" si="30"/>
        <v>#DIV/0!</v>
      </c>
      <c r="G41" s="29" t="e">
        <f t="shared" si="30"/>
        <v>#DIV/0!</v>
      </c>
      <c r="H41" s="29">
        <f t="shared" si="30"/>
        <v>1.063659201453846</v>
      </c>
      <c r="I41" s="29">
        <f t="shared" si="30"/>
        <v>1.0621481794813392</v>
      </c>
      <c r="J41" s="29">
        <f t="shared" si="30"/>
        <v>0.55790330572662272</v>
      </c>
      <c r="K41" s="29">
        <f t="shared" si="30"/>
        <v>0.49715008534503785</v>
      </c>
      <c r="L41" s="29">
        <f t="shared" si="30"/>
        <v>0.3742308893846536</v>
      </c>
      <c r="M41" s="29">
        <f>M20/M19</f>
        <v>0.4790333412565454</v>
      </c>
      <c r="N41" s="29">
        <f t="shared" ref="N41:AC41" si="31">N20/N19</f>
        <v>0.74536181660854461</v>
      </c>
      <c r="O41" s="29">
        <f t="shared" si="31"/>
        <v>0.61893611039289043</v>
      </c>
      <c r="P41" s="29">
        <f t="shared" si="31"/>
        <v>0.67742776679308025</v>
      </c>
      <c r="Q41" s="29">
        <f t="shared" si="31"/>
        <v>0.81723570895454001</v>
      </c>
      <c r="R41" s="29">
        <f t="shared" si="31"/>
        <v>0.38311465726195171</v>
      </c>
      <c r="S41" s="29">
        <f t="shared" si="31"/>
        <v>0.28125141638225232</v>
      </c>
      <c r="T41" s="29">
        <f t="shared" si="31"/>
        <v>0.368358199061601</v>
      </c>
      <c r="U41" s="29">
        <f t="shared" si="31"/>
        <v>0.33857139703251571</v>
      </c>
      <c r="V41" s="29">
        <f t="shared" si="31"/>
        <v>0.13039776988241061</v>
      </c>
      <c r="W41" s="29">
        <f t="shared" si="31"/>
        <v>0.4985026137712068</v>
      </c>
      <c r="X41" s="29">
        <f t="shared" si="31"/>
        <v>0.59247150690181372</v>
      </c>
      <c r="Y41" s="29">
        <f t="shared" si="31"/>
        <v>0.57621072113737426</v>
      </c>
      <c r="Z41" s="29">
        <f t="shared" si="31"/>
        <v>0.44760682540645563</v>
      </c>
      <c r="AA41" s="29">
        <f t="shared" si="31"/>
        <v>0.3651449517277649</v>
      </c>
      <c r="AB41" s="29">
        <f t="shared" si="31"/>
        <v>1.0863723608445297</v>
      </c>
      <c r="AC41" s="29">
        <f t="shared" si="31"/>
        <v>0.44230769230769235</v>
      </c>
      <c r="AD41" s="29">
        <f t="shared" ref="AD41" si="32">AD20/AD19</f>
        <v>0.33217993079584773</v>
      </c>
      <c r="AE41" s="29"/>
      <c r="AF41" s="1"/>
    </row>
    <row r="42" spans="1:32" x14ac:dyDescent="0.3">
      <c r="A42" s="16" t="s">
        <v>81</v>
      </c>
      <c r="B42" s="17" t="s">
        <v>43</v>
      </c>
      <c r="C42" s="1" t="s">
        <v>60</v>
      </c>
      <c r="D42" s="30" t="e">
        <f t="shared" ref="D42:AC42" si="33">(D20-D21)/D19</f>
        <v>#DIV/0!</v>
      </c>
      <c r="E42" s="30" t="e">
        <f t="shared" si="33"/>
        <v>#DIV/0!</v>
      </c>
      <c r="F42" s="30" t="e">
        <f t="shared" si="33"/>
        <v>#DIV/0!</v>
      </c>
      <c r="G42" s="30" t="e">
        <f t="shared" si="33"/>
        <v>#DIV/0!</v>
      </c>
      <c r="H42" s="30">
        <f t="shared" si="33"/>
        <v>0.93463039179004759</v>
      </c>
      <c r="I42" s="30">
        <f t="shared" si="33"/>
        <v>0.93628998145316111</v>
      </c>
      <c r="J42" s="30">
        <f t="shared" si="33"/>
        <v>0.45636016139307706</v>
      </c>
      <c r="K42" s="30">
        <f t="shared" si="33"/>
        <v>0.42995610826627656</v>
      </c>
      <c r="L42" s="30">
        <f t="shared" si="33"/>
        <v>0.34161692093884705</v>
      </c>
      <c r="M42" s="30">
        <f t="shared" si="33"/>
        <v>0.43593501999835588</v>
      </c>
      <c r="N42" s="30">
        <f t="shared" si="33"/>
        <v>0.69889869072342448</v>
      </c>
      <c r="O42" s="30">
        <f t="shared" si="33"/>
        <v>0.57194143206120163</v>
      </c>
      <c r="P42" s="30">
        <f t="shared" si="33"/>
        <v>0.63253603108336787</v>
      </c>
      <c r="Q42" s="30">
        <f t="shared" si="33"/>
        <v>0.74063729787017563</v>
      </c>
      <c r="R42" s="30">
        <f t="shared" si="33"/>
        <v>0.35376154263961607</v>
      </c>
      <c r="S42" s="30">
        <f t="shared" si="33"/>
        <v>0.26359496055424841</v>
      </c>
      <c r="T42" s="30">
        <f t="shared" si="33"/>
        <v>0.34741297829229684</v>
      </c>
      <c r="U42" s="30">
        <f t="shared" si="33"/>
        <v>0.3177501731771209</v>
      </c>
      <c r="V42" s="30">
        <f t="shared" si="33"/>
        <v>0.12517820986814054</v>
      </c>
      <c r="W42" s="30">
        <f t="shared" si="33"/>
        <v>0.48507071614123987</v>
      </c>
      <c r="X42" s="30">
        <f t="shared" si="33"/>
        <v>0.5715337826955238</v>
      </c>
      <c r="Y42" s="30">
        <f t="shared" si="33"/>
        <v>0.54912731810344539</v>
      </c>
      <c r="Z42" s="30">
        <f t="shared" si="33"/>
        <v>0.42990458006975013</v>
      </c>
      <c r="AA42" s="30">
        <f t="shared" si="33"/>
        <v>0.35164270073374604</v>
      </c>
      <c r="AB42" s="30">
        <f t="shared" si="33"/>
        <v>1.0531976967370442</v>
      </c>
      <c r="AC42" s="30">
        <f t="shared" si="33"/>
        <v>0.42994505494505497</v>
      </c>
      <c r="AD42" s="30">
        <f t="shared" ref="AD42" si="34">(AD20-AD21)/AD19</f>
        <v>0.32064590542099192</v>
      </c>
      <c r="AE42" s="30"/>
      <c r="AF42" s="1"/>
    </row>
    <row r="43" spans="1:32" x14ac:dyDescent="0.3">
      <c r="A43" s="18" t="s">
        <v>82</v>
      </c>
      <c r="B43" s="49" t="s">
        <v>44</v>
      </c>
      <c r="C43" s="6" t="s">
        <v>62</v>
      </c>
      <c r="D43" s="29" t="e">
        <f t="shared" ref="D43:AC43" si="35">D14/D19</f>
        <v>#DIV/0!</v>
      </c>
      <c r="E43" s="29" t="e">
        <f t="shared" si="35"/>
        <v>#DIV/0!</v>
      </c>
      <c r="F43" s="29" t="e">
        <f t="shared" si="35"/>
        <v>#DIV/0!</v>
      </c>
      <c r="G43" s="29" t="e">
        <f t="shared" si="35"/>
        <v>#DIV/0!</v>
      </c>
      <c r="H43" s="29">
        <f t="shared" si="35"/>
        <v>5.1358169864770972E-2</v>
      </c>
      <c r="I43" s="29">
        <f t="shared" si="35"/>
        <v>6.7649757589561696E-2</v>
      </c>
      <c r="J43" s="29">
        <f t="shared" si="35"/>
        <v>6.1637396474835418E-2</v>
      </c>
      <c r="K43" s="29">
        <f t="shared" si="35"/>
        <v>1.7579248963667398E-3</v>
      </c>
      <c r="L43" s="29">
        <f t="shared" si="35"/>
        <v>-2.8707908285156788E-2</v>
      </c>
      <c r="M43" s="29">
        <f t="shared" si="35"/>
        <v>-1.0662587934896326E-2</v>
      </c>
      <c r="N43" s="29">
        <f t="shared" si="35"/>
        <v>3.1644430834075497E-2</v>
      </c>
      <c r="O43" s="29">
        <f t="shared" si="35"/>
        <v>4.670941691794335E-3</v>
      </c>
      <c r="P43" s="29">
        <f t="shared" si="35"/>
        <v>4.4619239323980056E-3</v>
      </c>
      <c r="Q43" s="29">
        <f t="shared" si="35"/>
        <v>8.6216494969150057E-2</v>
      </c>
      <c r="R43" s="29">
        <f t="shared" si="35"/>
        <v>-5.084152589219279E-2</v>
      </c>
      <c r="S43" s="29">
        <f t="shared" si="35"/>
        <v>-0.25633941846985658</v>
      </c>
      <c r="T43" s="29">
        <f t="shared" si="35"/>
        <v>-2.4758143376205914E-3</v>
      </c>
      <c r="U43" s="29">
        <f t="shared" si="35"/>
        <v>-3.1017959019363876E-3</v>
      </c>
      <c r="V43" s="29">
        <f t="shared" si="35"/>
        <v>1.5429689487509194E-3</v>
      </c>
      <c r="W43" s="29">
        <f t="shared" si="35"/>
        <v>2.3747474423527145E-2</v>
      </c>
      <c r="X43" s="29">
        <f t="shared" si="35"/>
        <v>2.3872896877361428E-2</v>
      </c>
      <c r="Y43" s="29">
        <f t="shared" si="35"/>
        <v>7.9697355932293434E-2</v>
      </c>
      <c r="Z43" s="29">
        <f t="shared" si="35"/>
        <v>2.6394047797027986E-2</v>
      </c>
      <c r="AA43" s="29">
        <f t="shared" si="35"/>
        <v>2.1603601590430146E-2</v>
      </c>
      <c r="AB43" s="29">
        <f t="shared" si="35"/>
        <v>3.6468330134357005E-2</v>
      </c>
      <c r="AC43" s="29">
        <f t="shared" si="35"/>
        <v>2.747252747252747E-3</v>
      </c>
      <c r="AD43" s="29">
        <f t="shared" ref="AD43" si="36">AD14/AD19</f>
        <v>5.7670126874279125E-3</v>
      </c>
      <c r="AE43" s="29"/>
      <c r="AF43" s="1"/>
    </row>
    <row r="44" spans="1:32" x14ac:dyDescent="0.3">
      <c r="A44" s="16" t="s">
        <v>83</v>
      </c>
      <c r="B44" s="17" t="s">
        <v>45</v>
      </c>
      <c r="C44" s="1" t="s">
        <v>63</v>
      </c>
      <c r="D44" s="30" t="e">
        <f t="shared" ref="D44:AC44" si="37">D29/D7</f>
        <v>#DIV/0!</v>
      </c>
      <c r="E44" s="30" t="e">
        <f t="shared" si="37"/>
        <v>#DIV/0!</v>
      </c>
      <c r="F44" s="30" t="e">
        <f t="shared" si="37"/>
        <v>#DIV/0!</v>
      </c>
      <c r="G44" s="30" t="e">
        <f t="shared" si="37"/>
        <v>#DIV/0!</v>
      </c>
      <c r="H44" s="30">
        <f t="shared" si="37"/>
        <v>1.3196400734227822</v>
      </c>
      <c r="I44" s="30">
        <f t="shared" si="37"/>
        <v>1.9183854425144751</v>
      </c>
      <c r="J44" s="30">
        <f t="shared" si="37"/>
        <v>4.3969010710222545</v>
      </c>
      <c r="K44" s="30">
        <f t="shared" si="37"/>
        <v>5.3382374157550423</v>
      </c>
      <c r="L44" s="30">
        <f t="shared" si="37"/>
        <v>4.1594373978828481</v>
      </c>
      <c r="M44" s="30">
        <f t="shared" si="37"/>
        <v>4.5554916219944452</v>
      </c>
      <c r="N44" s="30">
        <f t="shared" si="37"/>
        <v>2.6347475594758998</v>
      </c>
      <c r="O44" s="30">
        <f t="shared" si="37"/>
        <v>3.6424604705256134</v>
      </c>
      <c r="P44" s="30">
        <f t="shared" si="37"/>
        <v>11.847089308142689</v>
      </c>
      <c r="Q44" s="30">
        <f t="shared" si="37"/>
        <v>3.3661934520009504</v>
      </c>
      <c r="R44" s="30">
        <f t="shared" si="37"/>
        <v>-2.5618900868721801</v>
      </c>
      <c r="S44" s="30">
        <f t="shared" si="37"/>
        <v>133.61428193408238</v>
      </c>
      <c r="T44" s="30">
        <f t="shared" si="37"/>
        <v>53.667977070654509</v>
      </c>
      <c r="U44" s="30">
        <f t="shared" si="37"/>
        <v>-5.0825850322896891</v>
      </c>
      <c r="V44" s="30">
        <f t="shared" si="37"/>
        <v>-112.12859573760262</v>
      </c>
      <c r="W44" s="30">
        <f t="shared" si="37"/>
        <v>0.84824198411604645</v>
      </c>
      <c r="X44" s="30">
        <f t="shared" si="37"/>
        <v>-17.540229885057471</v>
      </c>
      <c r="Y44" s="30">
        <f t="shared" si="37"/>
        <v>10.80938309859155</v>
      </c>
      <c r="Z44" s="30">
        <f t="shared" si="37"/>
        <v>-7.4640674999999996</v>
      </c>
      <c r="AA44" s="30">
        <f t="shared" si="37"/>
        <v>37.897435897435898</v>
      </c>
      <c r="AB44" s="30">
        <f t="shared" si="37"/>
        <v>1.4266666666666667</v>
      </c>
      <c r="AC44" s="30">
        <f t="shared" si="37"/>
        <v>-3.0555555555555554</v>
      </c>
      <c r="AD44" s="30">
        <f t="shared" ref="AD44" si="38">AD29/AD7</f>
        <v>-14.299999999999999</v>
      </c>
      <c r="AE44" s="30"/>
      <c r="AF44" s="1"/>
    </row>
    <row r="45" spans="1:32" x14ac:dyDescent="0.3">
      <c r="A45" s="18" t="s">
        <v>84</v>
      </c>
      <c r="B45" s="54" t="s">
        <v>99</v>
      </c>
      <c r="C45" s="6" t="s">
        <v>64</v>
      </c>
      <c r="D45" s="29" t="e">
        <f t="shared" ref="D45:AC45" si="39">D18/D23</f>
        <v>#DIV/0!</v>
      </c>
      <c r="E45" s="29" t="e">
        <f t="shared" si="39"/>
        <v>#DIV/0!</v>
      </c>
      <c r="F45" s="29" t="e">
        <f t="shared" si="39"/>
        <v>#DIV/0!</v>
      </c>
      <c r="G45" s="29" t="e">
        <f t="shared" si="39"/>
        <v>#DIV/0!</v>
      </c>
      <c r="H45" s="29">
        <f t="shared" si="39"/>
        <v>2.3687272240981576</v>
      </c>
      <c r="I45" s="29">
        <f t="shared" si="39"/>
        <v>3.3348456749238307</v>
      </c>
      <c r="J45" s="29">
        <f t="shared" si="39"/>
        <v>3.3432037279025622</v>
      </c>
      <c r="K45" s="29">
        <f t="shared" si="39"/>
        <v>6.4234389843682518</v>
      </c>
      <c r="L45" s="29">
        <f t="shared" si="39"/>
        <v>7.6570559518209311</v>
      </c>
      <c r="M45" s="29">
        <f t="shared" si="39"/>
        <v>14.369679879766391</v>
      </c>
      <c r="N45" s="29">
        <f t="shared" si="39"/>
        <v>7.2168199883412054</v>
      </c>
      <c r="O45" s="29">
        <f t="shared" si="39"/>
        <v>7.4192548030559964</v>
      </c>
      <c r="P45" s="29">
        <f t="shared" si="39"/>
        <v>25.330295768173027</v>
      </c>
      <c r="Q45" s="29">
        <f t="shared" si="39"/>
        <v>93.87149743594523</v>
      </c>
      <c r="R45" s="29">
        <f t="shared" si="39"/>
        <v>-81.792684005280108</v>
      </c>
      <c r="S45" s="29">
        <f t="shared" si="39"/>
        <v>-7.7023715986834072</v>
      </c>
      <c r="T45" s="29">
        <f t="shared" si="39"/>
        <v>-4.1835655598435046</v>
      </c>
      <c r="U45" s="29">
        <f t="shared" si="39"/>
        <v>-2.1015073829586499</v>
      </c>
      <c r="V45" s="29">
        <f t="shared" si="39"/>
        <v>-1.6940440902671887</v>
      </c>
      <c r="W45" s="29">
        <f t="shared" si="39"/>
        <v>-4.6427215418326764</v>
      </c>
      <c r="X45" s="29">
        <f t="shared" si="39"/>
        <v>-3.0074244182461767</v>
      </c>
      <c r="Y45" s="29">
        <f t="shared" si="39"/>
        <v>-2.6399864215328148</v>
      </c>
      <c r="Z45" s="29">
        <f t="shared" si="39"/>
        <v>-2.0571001104764592</v>
      </c>
      <c r="AA45" s="29">
        <f t="shared" si="39"/>
        <v>-1.8775610304497778</v>
      </c>
      <c r="AB45" s="29">
        <f t="shared" si="39"/>
        <v>-2.3994490358126721</v>
      </c>
      <c r="AC45" s="29">
        <f t="shared" si="39"/>
        <v>-1.7860635696821516</v>
      </c>
      <c r="AD45" s="29">
        <f t="shared" ref="AD45" si="40">AD18/AD23</f>
        <v>-1.5227272727272727</v>
      </c>
      <c r="AE45" s="29"/>
      <c r="AF45" s="1"/>
    </row>
    <row r="46" spans="1:32" x14ac:dyDescent="0.3">
      <c r="A46" s="18" t="s">
        <v>97</v>
      </c>
      <c r="B46" s="17" t="s">
        <v>100</v>
      </c>
      <c r="C46" s="6" t="s">
        <v>111</v>
      </c>
      <c r="D46" s="28">
        <f t="shared" ref="D46:AE46" si="41">D13/D4</f>
        <v>0</v>
      </c>
      <c r="E46" s="28">
        <f t="shared" si="41"/>
        <v>0</v>
      </c>
      <c r="F46" s="28">
        <f t="shared" si="41"/>
        <v>0</v>
      </c>
      <c r="G46" s="28">
        <f t="shared" si="41"/>
        <v>0</v>
      </c>
      <c r="H46" s="28">
        <f t="shared" si="41"/>
        <v>0</v>
      </c>
      <c r="I46" s="28">
        <f t="shared" si="41"/>
        <v>2.916746568576177E-2</v>
      </c>
      <c r="J46" s="28">
        <f t="shared" si="41"/>
        <v>0.1487337256474362</v>
      </c>
      <c r="K46" s="28">
        <f t="shared" si="41"/>
        <v>0</v>
      </c>
      <c r="L46" s="28">
        <f t="shared" si="41"/>
        <v>0</v>
      </c>
      <c r="M46" s="28">
        <f t="shared" si="41"/>
        <v>0</v>
      </c>
      <c r="N46" s="28">
        <f t="shared" si="41"/>
        <v>0</v>
      </c>
      <c r="O46" s="28">
        <f t="shared" si="41"/>
        <v>0</v>
      </c>
      <c r="P46" s="28">
        <f t="shared" si="41"/>
        <v>0</v>
      </c>
      <c r="Q46" s="28">
        <f t="shared" si="41"/>
        <v>0</v>
      </c>
      <c r="R46" s="28">
        <f t="shared" si="41"/>
        <v>0</v>
      </c>
      <c r="S46" s="28">
        <f t="shared" si="41"/>
        <v>0</v>
      </c>
      <c r="T46" s="28">
        <f t="shared" si="41"/>
        <v>0</v>
      </c>
      <c r="U46" s="28">
        <f t="shared" si="41"/>
        <v>0</v>
      </c>
      <c r="V46" s="28">
        <f t="shared" si="41"/>
        <v>0</v>
      </c>
      <c r="W46" s="28">
        <f t="shared" si="41"/>
        <v>0</v>
      </c>
      <c r="X46" s="28">
        <f t="shared" si="41"/>
        <v>0</v>
      </c>
      <c r="Y46" s="28">
        <f t="shared" si="41"/>
        <v>0</v>
      </c>
      <c r="Z46" s="28">
        <f t="shared" si="41"/>
        <v>0</v>
      </c>
      <c r="AA46" s="28">
        <f t="shared" si="41"/>
        <v>0</v>
      </c>
      <c r="AB46" s="28">
        <f t="shared" si="41"/>
        <v>0</v>
      </c>
      <c r="AC46" s="28">
        <f t="shared" si="41"/>
        <v>0</v>
      </c>
      <c r="AD46" s="28">
        <f t="shared" si="41"/>
        <v>0</v>
      </c>
      <c r="AE46" s="28">
        <f t="shared" si="41"/>
        <v>0</v>
      </c>
      <c r="AF46" s="1"/>
    </row>
  </sheetData>
  <mergeCells count="3">
    <mergeCell ref="A6:A13"/>
    <mergeCell ref="A14:A23"/>
    <mergeCell ref="AB2:AE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BCF11-4394-4A42-B7FB-D2E14C12B928}">
  <sheetPr codeName="Planilha5"/>
  <dimension ref="A2:W46"/>
  <sheetViews>
    <sheetView zoomScaleNormal="100" workbookViewId="0">
      <pane xSplit="3" ySplit="3" topLeftCell="D61" activePane="bottomRight" state="frozen"/>
      <selection activeCell="C46" sqref="C46"/>
      <selection pane="topRight" activeCell="C46" sqref="C46"/>
      <selection pane="bottomLeft" activeCell="C46" sqref="C46"/>
      <selection pane="bottomRight" activeCell="I1" sqref="I1"/>
    </sheetView>
  </sheetViews>
  <sheetFormatPr defaultColWidth="10" defaultRowHeight="14.4" x14ac:dyDescent="0.3"/>
  <cols>
    <col min="2" max="2" width="3.6640625" bestFit="1" customWidth="1"/>
    <col min="3" max="3" width="20.88671875" bestFit="1" customWidth="1"/>
    <col min="21" max="21" width="9" customWidth="1"/>
  </cols>
  <sheetData>
    <row r="2" spans="1:23" x14ac:dyDescent="0.3">
      <c r="U2" s="1"/>
      <c r="V2" s="1"/>
      <c r="W2" s="1"/>
    </row>
    <row r="3" spans="1:23" s="10" customFormat="1" x14ac:dyDescent="0.3">
      <c r="A3" s="9" t="s">
        <v>25</v>
      </c>
      <c r="B3" s="8" t="s">
        <v>23</v>
      </c>
      <c r="C3" s="9" t="s">
        <v>24</v>
      </c>
      <c r="D3" s="8">
        <v>5</v>
      </c>
      <c r="E3" s="8">
        <v>6</v>
      </c>
      <c r="F3" s="8">
        <v>7</v>
      </c>
      <c r="G3" s="8">
        <v>8</v>
      </c>
      <c r="H3" s="8">
        <v>9</v>
      </c>
      <c r="I3" s="8">
        <v>10</v>
      </c>
      <c r="J3" s="8">
        <v>11</v>
      </c>
      <c r="K3" s="8">
        <v>12</v>
      </c>
      <c r="L3" s="8">
        <v>13</v>
      </c>
      <c r="M3" s="8">
        <v>14</v>
      </c>
      <c r="N3" s="8">
        <v>15</v>
      </c>
      <c r="O3" s="8">
        <v>16</v>
      </c>
      <c r="P3" s="8">
        <v>17</v>
      </c>
      <c r="Q3" s="8">
        <v>18</v>
      </c>
      <c r="R3" s="8">
        <v>19</v>
      </c>
      <c r="S3" s="8">
        <v>20</v>
      </c>
      <c r="T3" s="84">
        <v>21</v>
      </c>
      <c r="U3" s="8" t="s">
        <v>94</v>
      </c>
      <c r="V3" s="9" t="s">
        <v>116</v>
      </c>
      <c r="W3" s="9" t="s">
        <v>117</v>
      </c>
    </row>
    <row r="4" spans="1:23" x14ac:dyDescent="0.3">
      <c r="A4" s="4" t="s">
        <v>5</v>
      </c>
      <c r="B4" s="11">
        <v>1</v>
      </c>
      <c r="C4" s="6" t="s">
        <v>4</v>
      </c>
      <c r="D4" s="19">
        <v>0.56999999999999995</v>
      </c>
      <c r="E4" s="19">
        <v>1.52</v>
      </c>
      <c r="F4" s="19">
        <v>2</v>
      </c>
      <c r="G4" s="19">
        <v>1.05</v>
      </c>
      <c r="H4" s="19">
        <v>2</v>
      </c>
      <c r="I4" s="19">
        <v>1.7</v>
      </c>
      <c r="J4" s="19">
        <v>1.2</v>
      </c>
      <c r="K4" s="19">
        <v>1.59</v>
      </c>
      <c r="L4" s="19">
        <v>2.2400000000000002</v>
      </c>
      <c r="M4" s="19">
        <v>2.48</v>
      </c>
      <c r="N4" s="19">
        <v>4.7699999999999996</v>
      </c>
      <c r="O4" s="19">
        <v>3.86</v>
      </c>
      <c r="P4" s="19">
        <v>5.17</v>
      </c>
      <c r="Q4" s="19">
        <v>5.8</v>
      </c>
      <c r="R4" s="19">
        <v>5.68</v>
      </c>
      <c r="S4" s="19">
        <v>5.16</v>
      </c>
      <c r="T4" s="85">
        <v>5.61</v>
      </c>
      <c r="U4" s="19">
        <v>5.6550000000000002</v>
      </c>
      <c r="V4" s="19">
        <v>5.6550000000000002</v>
      </c>
      <c r="W4" s="19">
        <v>5.6550000000000002</v>
      </c>
    </row>
    <row r="5" spans="1:23" x14ac:dyDescent="0.3">
      <c r="A5" s="5" t="s">
        <v>8</v>
      </c>
      <c r="B5" s="12">
        <v>3</v>
      </c>
      <c r="C5" s="1" t="s">
        <v>86</v>
      </c>
      <c r="D5" s="3">
        <v>232</v>
      </c>
      <c r="E5" s="3">
        <v>232</v>
      </c>
      <c r="F5" s="3">
        <v>232</v>
      </c>
      <c r="G5" s="3">
        <v>206</v>
      </c>
      <c r="H5" s="3">
        <v>206</v>
      </c>
      <c r="I5" s="3">
        <v>205.1</v>
      </c>
      <c r="J5" s="3">
        <v>205.1</v>
      </c>
      <c r="K5" s="3">
        <v>205.1</v>
      </c>
      <c r="L5" s="3">
        <v>205.13</v>
      </c>
      <c r="M5" s="3">
        <v>205.13</v>
      </c>
      <c r="N5" s="3">
        <v>205.13</v>
      </c>
      <c r="O5" s="3">
        <v>205.13</v>
      </c>
      <c r="P5" s="3">
        <v>205.13</v>
      </c>
      <c r="Q5" s="3">
        <v>205.07</v>
      </c>
      <c r="R5" s="3">
        <v>205.03</v>
      </c>
      <c r="S5" s="3">
        <v>205.07</v>
      </c>
      <c r="T5" s="86">
        <v>205.13167200000001</v>
      </c>
      <c r="U5" s="3">
        <v>205.08</v>
      </c>
      <c r="V5" s="3">
        <v>205.08</v>
      </c>
      <c r="W5" s="3">
        <v>205.08</v>
      </c>
    </row>
    <row r="6" spans="1:23" x14ac:dyDescent="0.3">
      <c r="A6" s="101" t="s">
        <v>7</v>
      </c>
      <c r="B6" s="13">
        <v>4</v>
      </c>
      <c r="C6" s="6" t="s">
        <v>104</v>
      </c>
      <c r="D6" s="7">
        <v>151.5</v>
      </c>
      <c r="E6" s="7">
        <v>295.53542199999998</v>
      </c>
      <c r="F6" s="7">
        <v>419.33568400000001</v>
      </c>
      <c r="G6" s="7">
        <v>280.17399999999998</v>
      </c>
      <c r="H6" s="7">
        <v>309.60899999999998</v>
      </c>
      <c r="I6" s="7">
        <v>500.37700000000001</v>
      </c>
      <c r="J6" s="7">
        <v>486.60199999999998</v>
      </c>
      <c r="K6" s="7">
        <v>542.827</v>
      </c>
      <c r="L6" s="7">
        <v>572.57100000000003</v>
      </c>
      <c r="M6" s="7">
        <v>552.85799999999995</v>
      </c>
      <c r="N6" s="7">
        <v>664.82500000000005</v>
      </c>
      <c r="O6" s="7">
        <v>612.49599999999998</v>
      </c>
      <c r="P6" s="7">
        <v>665.779</v>
      </c>
      <c r="Q6" s="7">
        <v>784.83</v>
      </c>
      <c r="R6" s="7">
        <v>753.52</v>
      </c>
      <c r="S6" s="7">
        <v>615.65</v>
      </c>
      <c r="T6" s="87">
        <v>814.3</v>
      </c>
      <c r="U6" s="7">
        <v>814.6</v>
      </c>
      <c r="V6" s="7">
        <v>839.8</v>
      </c>
      <c r="W6" s="7">
        <v>935</v>
      </c>
    </row>
    <row r="7" spans="1:23" x14ac:dyDescent="0.3">
      <c r="A7" s="101"/>
      <c r="B7" s="13">
        <v>5</v>
      </c>
      <c r="C7" s="1" t="s">
        <v>9</v>
      </c>
      <c r="D7" s="3">
        <v>20</v>
      </c>
      <c r="E7" s="3">
        <v>63.16</v>
      </c>
      <c r="F7" s="3">
        <v>102.32</v>
      </c>
      <c r="G7" s="3">
        <v>68.53</v>
      </c>
      <c r="H7" s="3">
        <v>51.499000000000002</v>
      </c>
      <c r="I7" s="3">
        <v>160.096</v>
      </c>
      <c r="J7" s="3">
        <v>113.125</v>
      </c>
      <c r="K7" s="3">
        <v>143.05000000000001</v>
      </c>
      <c r="L7" s="3">
        <v>141.4</v>
      </c>
      <c r="M7" s="3">
        <v>113.535</v>
      </c>
      <c r="N7" s="3">
        <v>221.108</v>
      </c>
      <c r="O7" s="3">
        <v>167.477</v>
      </c>
      <c r="P7" s="3">
        <v>191.09800000000001</v>
      </c>
      <c r="Q7" s="3">
        <v>292.68</v>
      </c>
      <c r="R7" s="3">
        <v>233.14</v>
      </c>
      <c r="S7" s="3">
        <v>130.4</v>
      </c>
      <c r="T7" s="86">
        <v>275.7</v>
      </c>
      <c r="U7" s="1">
        <v>252.3</v>
      </c>
      <c r="V7" s="62">
        <v>266.14</v>
      </c>
      <c r="W7" s="62">
        <v>319</v>
      </c>
    </row>
    <row r="8" spans="1:23" x14ac:dyDescent="0.3">
      <c r="A8" s="101"/>
      <c r="B8" s="13">
        <v>6</v>
      </c>
      <c r="C8" s="6" t="s">
        <v>10</v>
      </c>
      <c r="D8" s="7">
        <v>18</v>
      </c>
      <c r="E8" s="3">
        <v>43.66</v>
      </c>
      <c r="F8" s="3">
        <v>75.777000000000001</v>
      </c>
      <c r="G8" s="7">
        <v>39.709000000000003</v>
      </c>
      <c r="H8" s="7">
        <v>12.587999999999999</v>
      </c>
      <c r="I8" s="7">
        <v>108.901</v>
      </c>
      <c r="J8" s="7">
        <v>60.866</v>
      </c>
      <c r="K8" s="7">
        <v>94.188000000000002</v>
      </c>
      <c r="L8" s="7">
        <v>88.742000000000004</v>
      </c>
      <c r="M8" s="7">
        <v>65.015000000000001</v>
      </c>
      <c r="N8" s="7">
        <v>168.274</v>
      </c>
      <c r="O8" s="7">
        <v>116.285</v>
      </c>
      <c r="P8" s="7">
        <v>137.40600000000001</v>
      </c>
      <c r="Q8" s="7">
        <v>232.48</v>
      </c>
      <c r="R8" s="7">
        <v>157.80000000000001</v>
      </c>
      <c r="S8" s="7">
        <v>53.47</v>
      </c>
      <c r="T8" s="87">
        <v>195</v>
      </c>
      <c r="U8" s="7">
        <v>169.03</v>
      </c>
      <c r="V8" s="7">
        <v>176.7</v>
      </c>
      <c r="W8" s="7"/>
    </row>
    <row r="9" spans="1:23" x14ac:dyDescent="0.3">
      <c r="A9" s="101"/>
      <c r="B9" s="13">
        <v>11</v>
      </c>
      <c r="C9" s="1" t="s">
        <v>11</v>
      </c>
      <c r="D9" s="3">
        <v>-3.2328000000000001</v>
      </c>
      <c r="E9" s="3">
        <v>-17</v>
      </c>
      <c r="F9" s="3">
        <v>-33.46</v>
      </c>
      <c r="G9" s="3">
        <v>-37.445999999999998</v>
      </c>
      <c r="H9" s="3">
        <v>-25.318999999999999</v>
      </c>
      <c r="I9" s="3">
        <v>-30.859000000000002</v>
      </c>
      <c r="J9" s="3">
        <v>-33.26</v>
      </c>
      <c r="K9" s="3">
        <v>-33.322000000000003</v>
      </c>
      <c r="L9" s="3">
        <v>-23.457999999999998</v>
      </c>
      <c r="M9" s="3">
        <v>-24.401</v>
      </c>
      <c r="N9" s="3">
        <v>-20.722000000000001</v>
      </c>
      <c r="O9" s="3">
        <v>-15.587999999999999</v>
      </c>
      <c r="P9" s="3">
        <v>-18.818000000000001</v>
      </c>
      <c r="Q9" s="3">
        <v>-15.83</v>
      </c>
      <c r="R9" s="3">
        <v>-13.7</v>
      </c>
      <c r="S9" s="3">
        <v>-14.24</v>
      </c>
      <c r="T9" s="86">
        <v>-21.4</v>
      </c>
      <c r="U9" s="66">
        <v>-23.1</v>
      </c>
      <c r="V9" s="66">
        <v>-21.9</v>
      </c>
      <c r="W9" s="66"/>
    </row>
    <row r="10" spans="1:23" x14ac:dyDescent="0.3">
      <c r="A10" s="101"/>
      <c r="B10" s="13">
        <v>12</v>
      </c>
      <c r="C10" s="6" t="s">
        <v>12</v>
      </c>
      <c r="D10" s="7">
        <v>14.79</v>
      </c>
      <c r="E10" s="7">
        <v>26.661328000000001</v>
      </c>
      <c r="F10" s="7">
        <v>42.315266999999999</v>
      </c>
      <c r="G10" s="7">
        <v>2.262</v>
      </c>
      <c r="H10" s="7">
        <v>-12.731</v>
      </c>
      <c r="I10" s="7">
        <v>78.042000000000002</v>
      </c>
      <c r="J10" s="7">
        <v>27.606000000000002</v>
      </c>
      <c r="K10" s="7">
        <v>60.866</v>
      </c>
      <c r="L10" s="7">
        <v>65.283000000000001</v>
      </c>
      <c r="M10" s="7">
        <v>40.613999999999997</v>
      </c>
      <c r="N10" s="7">
        <v>147.55199999999999</v>
      </c>
      <c r="O10" s="7">
        <v>100.697</v>
      </c>
      <c r="P10" s="7">
        <v>118.589</v>
      </c>
      <c r="Q10" s="7">
        <v>250.64</v>
      </c>
      <c r="R10" s="7">
        <v>136.26</v>
      </c>
      <c r="S10" s="7">
        <v>27.94</v>
      </c>
      <c r="T10" s="87">
        <v>176.03</v>
      </c>
      <c r="U10" s="67">
        <v>124.95</v>
      </c>
      <c r="V10" s="7">
        <v>138.38999999999999</v>
      </c>
      <c r="W10" s="7"/>
    </row>
    <row r="11" spans="1:23" x14ac:dyDescent="0.3">
      <c r="A11" s="101"/>
      <c r="B11" s="13">
        <v>13</v>
      </c>
      <c r="C11" s="1" t="s">
        <v>13</v>
      </c>
      <c r="D11" s="34">
        <v>4.2300000000000004</v>
      </c>
      <c r="E11" s="3">
        <v>5.5525149999999996</v>
      </c>
      <c r="F11" s="3">
        <v>7.0592319999999997</v>
      </c>
      <c r="G11" s="3">
        <v>1.895</v>
      </c>
      <c r="H11" s="3">
        <v>0.76600000000000001</v>
      </c>
      <c r="I11" s="3">
        <v>16.626999999999999</v>
      </c>
      <c r="J11" s="3">
        <v>2.4369999999999998</v>
      </c>
      <c r="K11" s="3">
        <v>8.6609999999999996</v>
      </c>
      <c r="L11" s="3">
        <v>9.9169999999999998</v>
      </c>
      <c r="M11" s="3">
        <v>3.2229999999999999</v>
      </c>
      <c r="N11" s="3">
        <v>28.879000000000001</v>
      </c>
      <c r="O11" s="3">
        <v>23.72</v>
      </c>
      <c r="P11" s="3">
        <v>22.52</v>
      </c>
      <c r="Q11" s="3">
        <v>56.14</v>
      </c>
      <c r="R11" s="3">
        <v>35.44</v>
      </c>
      <c r="S11" s="3">
        <v>-7.0359999999999996</v>
      </c>
      <c r="T11" s="86">
        <v>46.43</v>
      </c>
      <c r="U11" s="83">
        <v>33.28</v>
      </c>
      <c r="V11" s="7">
        <v>27.75</v>
      </c>
      <c r="W11" s="7"/>
    </row>
    <row r="12" spans="1:23" x14ac:dyDescent="0.3">
      <c r="A12" s="101"/>
      <c r="B12" s="13">
        <v>14</v>
      </c>
      <c r="C12" s="6" t="s">
        <v>105</v>
      </c>
      <c r="D12" s="7">
        <v>7.4</v>
      </c>
      <c r="E12" s="7">
        <v>20.843789000000001</v>
      </c>
      <c r="F12" s="7">
        <v>35.193702000000002</v>
      </c>
      <c r="G12" s="7">
        <v>4.6680000000000001</v>
      </c>
      <c r="H12" s="7">
        <v>-10.91</v>
      </c>
      <c r="I12" s="7">
        <v>62.014000000000003</v>
      </c>
      <c r="J12" s="7">
        <v>22.568000000000001</v>
      </c>
      <c r="K12" s="7">
        <v>52.182000000000002</v>
      </c>
      <c r="L12" s="7">
        <v>55.347999999999999</v>
      </c>
      <c r="M12" s="7">
        <v>37.381999999999998</v>
      </c>
      <c r="N12" s="7">
        <v>117.65600000000001</v>
      </c>
      <c r="O12" s="7">
        <v>76.977000000000004</v>
      </c>
      <c r="P12" s="7">
        <v>96.067999999999998</v>
      </c>
      <c r="Q12" s="7">
        <v>194.5</v>
      </c>
      <c r="R12" s="7">
        <v>100.83</v>
      </c>
      <c r="S12" s="7">
        <v>34.979999999999997</v>
      </c>
      <c r="T12" s="87">
        <v>125.06</v>
      </c>
      <c r="U12" s="67">
        <v>100.7</v>
      </c>
      <c r="V12" s="7">
        <v>100.4</v>
      </c>
      <c r="W12" s="7"/>
    </row>
    <row r="13" spans="1:23" x14ac:dyDescent="0.3">
      <c r="A13" s="101"/>
      <c r="B13" s="13">
        <v>2</v>
      </c>
      <c r="C13" s="1" t="s">
        <v>15</v>
      </c>
      <c r="D13" s="35">
        <v>0</v>
      </c>
      <c r="E13" s="35">
        <v>1.0999999999999999E-2</v>
      </c>
      <c r="F13" s="35">
        <v>2.1999999999999999E-2</v>
      </c>
      <c r="G13" s="35">
        <v>2.1999999999999999E-2</v>
      </c>
      <c r="H13" s="35">
        <v>0</v>
      </c>
      <c r="I13" s="35">
        <v>0</v>
      </c>
      <c r="J13" s="35">
        <v>0.02</v>
      </c>
      <c r="K13" s="35">
        <v>0.02</v>
      </c>
      <c r="L13" s="35">
        <v>2.5000000000000001E-2</v>
      </c>
      <c r="M13" s="35">
        <v>4.2000000000000003E-2</v>
      </c>
      <c r="N13" s="35">
        <v>0.5</v>
      </c>
      <c r="O13" s="35">
        <v>0.25</v>
      </c>
      <c r="P13" s="35">
        <v>0.3</v>
      </c>
      <c r="Q13" s="35">
        <v>0.72</v>
      </c>
      <c r="R13" s="35">
        <v>0.72</v>
      </c>
      <c r="S13" s="35">
        <v>0.3</v>
      </c>
      <c r="T13" s="88">
        <v>0.39</v>
      </c>
      <c r="U13" s="82">
        <v>0.32</v>
      </c>
      <c r="V13" s="90">
        <v>0.26</v>
      </c>
      <c r="W13" s="82"/>
    </row>
    <row r="14" spans="1:23" x14ac:dyDescent="0.3">
      <c r="A14" s="102" t="s">
        <v>14</v>
      </c>
      <c r="B14" s="14">
        <v>8</v>
      </c>
      <c r="C14" s="6" t="s">
        <v>16</v>
      </c>
      <c r="D14" s="7">
        <v>3.0073629999999998</v>
      </c>
      <c r="E14" s="7">
        <v>13.931279</v>
      </c>
      <c r="F14" s="7">
        <v>125.51451299999999</v>
      </c>
      <c r="G14" s="7">
        <v>73.023397000000003</v>
      </c>
      <c r="H14" s="7">
        <v>77.632800000000003</v>
      </c>
      <c r="I14" s="7">
        <v>129.65337</v>
      </c>
      <c r="J14" s="7">
        <v>111.418007</v>
      </c>
      <c r="K14" s="7">
        <v>110.624494</v>
      </c>
      <c r="L14" s="7">
        <v>232.37178</v>
      </c>
      <c r="M14" s="7">
        <v>260.77777900000001</v>
      </c>
      <c r="N14" s="7">
        <v>243.15415999999999</v>
      </c>
      <c r="O14" s="7">
        <v>300.09425399999998</v>
      </c>
      <c r="P14" s="7">
        <v>193.599737</v>
      </c>
      <c r="Q14" s="7">
        <v>240.8</v>
      </c>
      <c r="R14" s="7">
        <v>181.3</v>
      </c>
      <c r="S14" s="7">
        <v>254.6</v>
      </c>
      <c r="T14" s="87">
        <v>342.3</v>
      </c>
      <c r="U14" s="7"/>
      <c r="V14" s="1"/>
      <c r="W14" s="1"/>
    </row>
    <row r="15" spans="1:23" x14ac:dyDescent="0.3">
      <c r="A15" s="103"/>
      <c r="B15" s="14">
        <v>7</v>
      </c>
      <c r="C15" s="1" t="s">
        <v>17</v>
      </c>
      <c r="D15" s="3">
        <v>134.1</v>
      </c>
      <c r="E15" s="3">
        <v>551</v>
      </c>
      <c r="F15" s="3">
        <v>750</v>
      </c>
      <c r="G15" s="3">
        <v>834.16787999999997</v>
      </c>
      <c r="H15" s="3">
        <v>918.16444000000001</v>
      </c>
      <c r="I15" s="3">
        <v>714.59310000000005</v>
      </c>
      <c r="J15" s="3">
        <v>844.21</v>
      </c>
      <c r="K15" s="3">
        <v>743.42700000000002</v>
      </c>
      <c r="L15" s="3">
        <v>806</v>
      </c>
      <c r="M15" s="3">
        <v>780.84</v>
      </c>
      <c r="N15" s="3">
        <v>683.53399999999999</v>
      </c>
      <c r="O15" s="3">
        <v>740.11</v>
      </c>
      <c r="P15" s="3">
        <v>583.03</v>
      </c>
      <c r="Q15" s="3">
        <v>674.9</v>
      </c>
      <c r="R15" s="3">
        <v>774.8</v>
      </c>
      <c r="S15" s="3">
        <v>806</v>
      </c>
      <c r="T15" s="86">
        <v>996.6</v>
      </c>
      <c r="U15" s="1"/>
      <c r="V15" s="1"/>
      <c r="W15" s="1"/>
    </row>
    <row r="16" spans="1:23" x14ac:dyDescent="0.3">
      <c r="A16" s="103"/>
      <c r="B16" s="14">
        <v>9</v>
      </c>
      <c r="C16" s="6" t="s">
        <v>92</v>
      </c>
      <c r="D16" s="36">
        <v>1.7784850000000001</v>
      </c>
      <c r="E16" s="36">
        <v>0.290356</v>
      </c>
      <c r="F16" s="36">
        <v>0.27449400000000002</v>
      </c>
      <c r="G16" s="36">
        <v>0.28399099999999999</v>
      </c>
      <c r="H16" s="36">
        <v>0.109371</v>
      </c>
      <c r="I16" s="36">
        <v>0.11236500000000001</v>
      </c>
      <c r="J16" s="36">
        <v>0.105421</v>
      </c>
      <c r="K16" s="36">
        <v>0.128166</v>
      </c>
      <c r="L16" s="36">
        <v>0.14630799999999999</v>
      </c>
      <c r="M16" s="36">
        <v>0.15523999999999999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89">
        <v>0</v>
      </c>
      <c r="U16" s="7"/>
      <c r="V16" s="1"/>
      <c r="W16" s="1"/>
    </row>
    <row r="17" spans="1:23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86">
        <v>0</v>
      </c>
      <c r="U17" s="1"/>
      <c r="V17" s="1"/>
      <c r="W17" s="1"/>
    </row>
    <row r="18" spans="1:23" x14ac:dyDescent="0.3">
      <c r="A18" s="103"/>
      <c r="B18" s="14">
        <v>15</v>
      </c>
      <c r="C18" s="6" t="s">
        <v>19</v>
      </c>
      <c r="D18" s="7">
        <v>217.6</v>
      </c>
      <c r="E18" s="7">
        <v>687.92</v>
      </c>
      <c r="F18" s="7">
        <v>937.84230000000002</v>
      </c>
      <c r="G18" s="7">
        <v>1028.47</v>
      </c>
      <c r="H18" s="7">
        <v>1065.741</v>
      </c>
      <c r="I18" s="7">
        <v>1075.3140000000001</v>
      </c>
      <c r="J18" s="7">
        <v>986.96118000000001</v>
      </c>
      <c r="K18" s="7">
        <v>944.43313000000001</v>
      </c>
      <c r="L18" s="7">
        <v>979.56799999999998</v>
      </c>
      <c r="M18" s="7">
        <v>966.99</v>
      </c>
      <c r="N18" s="7">
        <v>872.9</v>
      </c>
      <c r="O18" s="7">
        <v>941.42435</v>
      </c>
      <c r="P18" s="7">
        <v>815.52142000000003</v>
      </c>
      <c r="Q18" s="7">
        <v>970.6</v>
      </c>
      <c r="R18" s="7">
        <v>1016.4</v>
      </c>
      <c r="S18" s="7">
        <v>1040.7</v>
      </c>
      <c r="T18" s="87">
        <v>1533.4</v>
      </c>
      <c r="U18" s="7"/>
      <c r="V18" s="1"/>
      <c r="W18" s="1"/>
    </row>
    <row r="19" spans="1:23" x14ac:dyDescent="0.3">
      <c r="A19" s="103"/>
      <c r="B19" s="14">
        <v>18</v>
      </c>
      <c r="C19" s="1" t="s">
        <v>21</v>
      </c>
      <c r="D19" s="3">
        <v>118.57</v>
      </c>
      <c r="E19" s="3">
        <v>193.32770500000001</v>
      </c>
      <c r="F19" s="3">
        <v>394.38509099999999</v>
      </c>
      <c r="G19" s="3">
        <v>346.15817099999998</v>
      </c>
      <c r="H19" s="3">
        <v>275.46165500000001</v>
      </c>
      <c r="I19" s="3">
        <v>360.92044700000002</v>
      </c>
      <c r="J19" s="3">
        <v>413.264656</v>
      </c>
      <c r="K19" s="3">
        <v>322.01469100000003</v>
      </c>
      <c r="L19" s="3">
        <v>398.947541</v>
      </c>
      <c r="M19" s="3">
        <v>524.82352300000002</v>
      </c>
      <c r="N19" s="3">
        <v>242.56525099999999</v>
      </c>
      <c r="O19" s="3">
        <v>297.668881</v>
      </c>
      <c r="P19" s="3">
        <v>273.54429599999997</v>
      </c>
      <c r="Q19" s="3">
        <v>348.5</v>
      </c>
      <c r="R19" s="3">
        <v>274.5</v>
      </c>
      <c r="S19" s="3">
        <v>330.9</v>
      </c>
      <c r="T19" s="86">
        <v>414.4</v>
      </c>
      <c r="U19" s="1"/>
      <c r="V19" s="1"/>
      <c r="W19" s="1"/>
    </row>
    <row r="20" spans="1:23" x14ac:dyDescent="0.3">
      <c r="A20" s="103"/>
      <c r="B20" s="14">
        <v>17</v>
      </c>
      <c r="C20" s="6" t="s">
        <v>22</v>
      </c>
      <c r="D20" s="7">
        <v>119.98</v>
      </c>
      <c r="E20" s="7">
        <v>187.66876400000001</v>
      </c>
      <c r="F20" s="7">
        <v>383.71137499999998</v>
      </c>
      <c r="G20" s="7">
        <v>265.89919300000003</v>
      </c>
      <c r="H20" s="7">
        <v>218.22579300000001</v>
      </c>
      <c r="I20" s="7">
        <v>290.05349699999999</v>
      </c>
      <c r="J20" s="7">
        <v>265.67650600000002</v>
      </c>
      <c r="K20" s="7">
        <v>274.55343399999998</v>
      </c>
      <c r="L20" s="7">
        <v>400.01944900000001</v>
      </c>
      <c r="M20" s="7">
        <v>430.36225300000001</v>
      </c>
      <c r="N20" s="7">
        <v>410.669648</v>
      </c>
      <c r="O20" s="7">
        <v>487.53782100000001</v>
      </c>
      <c r="P20" s="7">
        <v>383.127094</v>
      </c>
      <c r="Q20" s="7">
        <v>475.6</v>
      </c>
      <c r="R20" s="7">
        <v>397.6</v>
      </c>
      <c r="S20" s="7">
        <v>441.5</v>
      </c>
      <c r="T20" s="87">
        <v>570.6</v>
      </c>
      <c r="U20" s="7"/>
      <c r="V20" s="1"/>
      <c r="W20" s="1"/>
    </row>
    <row r="21" spans="1:23" x14ac:dyDescent="0.3">
      <c r="A21" s="103"/>
      <c r="B21" s="14">
        <v>19</v>
      </c>
      <c r="C21" s="1" t="s">
        <v>88</v>
      </c>
      <c r="D21" s="3">
        <v>42.8</v>
      </c>
      <c r="E21" s="3">
        <v>687.92</v>
      </c>
      <c r="F21" s="3">
        <v>937.84230000000002</v>
      </c>
      <c r="G21" s="3">
        <v>57.613287999999997</v>
      </c>
      <c r="H21" s="3">
        <v>37.887922000000003</v>
      </c>
      <c r="I21" s="3">
        <v>49.548856000000001</v>
      </c>
      <c r="J21" s="3">
        <v>61.728889000000002</v>
      </c>
      <c r="K21" s="3">
        <v>47.440278999999997</v>
      </c>
      <c r="L21" s="3">
        <v>54.829315000000001</v>
      </c>
      <c r="M21" s="3">
        <v>54.725439999999999</v>
      </c>
      <c r="N21" s="3">
        <v>56.396614999999997</v>
      </c>
      <c r="O21" s="3">
        <v>58.890414</v>
      </c>
      <c r="P21" s="3">
        <v>50.728046999999997</v>
      </c>
      <c r="Q21" s="3">
        <v>70.099999999999994</v>
      </c>
      <c r="R21" s="3">
        <v>86</v>
      </c>
      <c r="S21" s="3">
        <v>75.5</v>
      </c>
      <c r="T21" s="86">
        <v>73.7</v>
      </c>
      <c r="U21" s="1"/>
      <c r="V21" s="1"/>
      <c r="W21" s="1"/>
    </row>
    <row r="22" spans="1:23" x14ac:dyDescent="0.3">
      <c r="A22" s="103"/>
      <c r="B22" s="14">
        <v>20</v>
      </c>
      <c r="C22" s="6" t="s">
        <v>87</v>
      </c>
      <c r="D22" s="7">
        <v>54.1</v>
      </c>
      <c r="E22" s="7">
        <v>81.381317999999993</v>
      </c>
      <c r="F22" s="7">
        <v>88.6</v>
      </c>
      <c r="G22" s="7">
        <v>57.81915</v>
      </c>
      <c r="H22" s="7">
        <v>69.602592999999999</v>
      </c>
      <c r="I22" s="7">
        <v>92.068213999999998</v>
      </c>
      <c r="J22" s="7">
        <v>66.672815</v>
      </c>
      <c r="K22" s="7">
        <v>94.859425000000002</v>
      </c>
      <c r="L22" s="7">
        <v>80.294638000000006</v>
      </c>
      <c r="M22" s="7">
        <v>88.868133</v>
      </c>
      <c r="N22" s="7">
        <v>91.521269000000004</v>
      </c>
      <c r="O22" s="7">
        <v>92.261371999999994</v>
      </c>
      <c r="P22" s="7">
        <v>113.284683</v>
      </c>
      <c r="Q22" s="7">
        <v>129.1</v>
      </c>
      <c r="R22" s="7">
        <v>91.4</v>
      </c>
      <c r="S22" s="7">
        <v>71.7</v>
      </c>
      <c r="T22" s="87">
        <v>129.80000000000001</v>
      </c>
      <c r="U22" s="7"/>
      <c r="V22" s="1"/>
      <c r="W22" s="1"/>
    </row>
    <row r="23" spans="1:23" x14ac:dyDescent="0.3">
      <c r="A23" s="103"/>
      <c r="B23" s="14">
        <v>16</v>
      </c>
      <c r="C23" s="1" t="s">
        <v>20</v>
      </c>
      <c r="D23" s="3">
        <v>70.744857999999994</v>
      </c>
      <c r="E23" s="3">
        <v>85.71</v>
      </c>
      <c r="F23" s="3">
        <v>118</v>
      </c>
      <c r="G23" s="3">
        <v>86.096754000000004</v>
      </c>
      <c r="H23" s="3">
        <v>57.673814999999998</v>
      </c>
      <c r="I23" s="3">
        <v>115.049954</v>
      </c>
      <c r="J23" s="3">
        <v>140.657208</v>
      </c>
      <c r="K23" s="3">
        <v>183.79874599999999</v>
      </c>
      <c r="L23" s="3">
        <v>241.66348199999999</v>
      </c>
      <c r="M23" s="3">
        <v>272.10873700000002</v>
      </c>
      <c r="N23" s="3">
        <v>322.34956799999998</v>
      </c>
      <c r="O23" s="3">
        <v>343.64219600000001</v>
      </c>
      <c r="P23" s="3">
        <v>394.56707599999999</v>
      </c>
      <c r="Q23" s="3">
        <v>521.6</v>
      </c>
      <c r="R23" s="3">
        <v>466</v>
      </c>
      <c r="S23" s="3">
        <v>445.3</v>
      </c>
      <c r="T23" s="86">
        <v>507.3</v>
      </c>
      <c r="U23" s="1"/>
      <c r="V23" s="1"/>
      <c r="W23" s="1"/>
    </row>
    <row r="25" spans="1:23" x14ac:dyDescent="0.3">
      <c r="A25" s="9" t="s">
        <v>71</v>
      </c>
      <c r="B25" s="8"/>
      <c r="C25" s="9" t="s">
        <v>26</v>
      </c>
      <c r="D25" s="8">
        <v>5</v>
      </c>
      <c r="E25" s="8">
        <v>6</v>
      </c>
      <c r="F25" s="8">
        <v>7</v>
      </c>
      <c r="G25" s="8">
        <v>8</v>
      </c>
      <c r="H25" s="8">
        <v>9</v>
      </c>
      <c r="I25" s="8">
        <v>10</v>
      </c>
      <c r="J25" s="8">
        <v>11</v>
      </c>
      <c r="K25" s="8">
        <v>12</v>
      </c>
      <c r="L25" s="8">
        <v>13</v>
      </c>
      <c r="M25" s="8">
        <v>14</v>
      </c>
      <c r="N25" s="8">
        <v>15</v>
      </c>
      <c r="O25" s="8">
        <v>16</v>
      </c>
      <c r="P25" s="8">
        <v>17</v>
      </c>
      <c r="Q25" s="8">
        <v>18</v>
      </c>
      <c r="R25" s="8">
        <v>19</v>
      </c>
      <c r="S25" s="8">
        <v>20</v>
      </c>
      <c r="T25" s="8" t="s">
        <v>3</v>
      </c>
      <c r="U25" s="8" t="s">
        <v>94</v>
      </c>
      <c r="V25" s="10" t="s">
        <v>116</v>
      </c>
      <c r="W25" s="10" t="s">
        <v>117</v>
      </c>
    </row>
    <row r="26" spans="1:23" x14ac:dyDescent="0.3">
      <c r="A26" s="6" t="s">
        <v>65</v>
      </c>
      <c r="B26" s="17" t="s">
        <v>27</v>
      </c>
      <c r="C26" s="6" t="s">
        <v>85</v>
      </c>
      <c r="D26" s="7">
        <f t="shared" ref="D26:V26" si="0">D4*D5</f>
        <v>132.23999999999998</v>
      </c>
      <c r="E26" s="7">
        <f t="shared" si="0"/>
        <v>352.64</v>
      </c>
      <c r="F26" s="7">
        <f t="shared" si="0"/>
        <v>464</v>
      </c>
      <c r="G26" s="7">
        <f t="shared" si="0"/>
        <v>216.3</v>
      </c>
      <c r="H26" s="7">
        <f t="shared" si="0"/>
        <v>412</v>
      </c>
      <c r="I26" s="7">
        <f t="shared" si="0"/>
        <v>348.66999999999996</v>
      </c>
      <c r="J26" s="7">
        <f t="shared" si="0"/>
        <v>246.11999999999998</v>
      </c>
      <c r="K26" s="7">
        <f t="shared" si="0"/>
        <v>326.10899999999998</v>
      </c>
      <c r="L26" s="7">
        <f t="shared" si="0"/>
        <v>459.49120000000005</v>
      </c>
      <c r="M26" s="7">
        <f t="shared" si="0"/>
        <v>508.72239999999999</v>
      </c>
      <c r="N26" s="7">
        <f t="shared" si="0"/>
        <v>978.47009999999989</v>
      </c>
      <c r="O26" s="7">
        <f t="shared" si="0"/>
        <v>791.80179999999996</v>
      </c>
      <c r="P26" s="7">
        <f t="shared" si="0"/>
        <v>1060.5220999999999</v>
      </c>
      <c r="Q26" s="7">
        <f t="shared" si="0"/>
        <v>1189.4059999999999</v>
      </c>
      <c r="R26" s="7">
        <f t="shared" si="0"/>
        <v>1164.5703999999998</v>
      </c>
      <c r="S26" s="7">
        <f t="shared" si="0"/>
        <v>1058.1612</v>
      </c>
      <c r="T26" s="7">
        <f t="shared" si="0"/>
        <v>1150.78867992</v>
      </c>
      <c r="U26" s="7">
        <f t="shared" si="0"/>
        <v>1159.7274000000002</v>
      </c>
      <c r="V26" s="7">
        <f t="shared" si="0"/>
        <v>1159.7274000000002</v>
      </c>
      <c r="W26" s="7"/>
    </row>
    <row r="27" spans="1:23" x14ac:dyDescent="0.3">
      <c r="A27" s="1" t="s">
        <v>66</v>
      </c>
      <c r="B27" s="2" t="s">
        <v>28</v>
      </c>
      <c r="C27" s="1" t="s">
        <v>47</v>
      </c>
      <c r="D27" s="30">
        <f t="shared" ref="D27:V27" si="1">D26/D6</f>
        <v>0.87287128712871276</v>
      </c>
      <c r="E27" s="30">
        <f t="shared" si="1"/>
        <v>1.1932241408273558</v>
      </c>
      <c r="F27" s="30">
        <f t="shared" si="1"/>
        <v>1.1065120801882435</v>
      </c>
      <c r="G27" s="30">
        <f t="shared" si="1"/>
        <v>0.77202024456230778</v>
      </c>
      <c r="H27" s="30">
        <f t="shared" si="1"/>
        <v>1.3307106705554426</v>
      </c>
      <c r="I27" s="30">
        <f t="shared" si="1"/>
        <v>0.69681460179025001</v>
      </c>
      <c r="J27" s="30">
        <f t="shared" si="1"/>
        <v>0.50579323553951683</v>
      </c>
      <c r="K27" s="30">
        <f t="shared" si="1"/>
        <v>0.60076046327835564</v>
      </c>
      <c r="L27" s="30">
        <f t="shared" si="1"/>
        <v>0.80250519149590183</v>
      </c>
      <c r="M27" s="30">
        <f t="shared" si="1"/>
        <v>0.92016828914477145</v>
      </c>
      <c r="N27" s="30">
        <f t="shared" si="1"/>
        <v>1.4717709171586506</v>
      </c>
      <c r="O27" s="30">
        <f t="shared" si="1"/>
        <v>1.2927460750764086</v>
      </c>
      <c r="P27" s="30">
        <f t="shared" si="1"/>
        <v>1.5929041018115619</v>
      </c>
      <c r="Q27" s="30">
        <f t="shared" si="1"/>
        <v>1.5154950753666399</v>
      </c>
      <c r="R27" s="30">
        <f t="shared" si="1"/>
        <v>1.54550695402909</v>
      </c>
      <c r="S27" s="30">
        <f t="shared" si="1"/>
        <v>1.7187707301226347</v>
      </c>
      <c r="T27" s="30">
        <f t="shared" si="1"/>
        <v>1.4132244626304804</v>
      </c>
      <c r="U27" s="30">
        <f t="shared" si="1"/>
        <v>1.4236771421556595</v>
      </c>
      <c r="V27" s="30">
        <f t="shared" si="1"/>
        <v>1.3809566563467495</v>
      </c>
      <c r="W27" s="30"/>
    </row>
    <row r="28" spans="1:23" x14ac:dyDescent="0.3">
      <c r="A28" s="6" t="s">
        <v>67</v>
      </c>
      <c r="B28" s="17" t="s">
        <v>29</v>
      </c>
      <c r="C28" s="6" t="s">
        <v>48</v>
      </c>
      <c r="D28" s="29">
        <f t="shared" ref="D28:V28" si="2">D26/D7</f>
        <v>6.6119999999999992</v>
      </c>
      <c r="E28" s="29">
        <f t="shared" si="2"/>
        <v>5.5832805573147564</v>
      </c>
      <c r="F28" s="29">
        <f t="shared" si="2"/>
        <v>4.5347928068803753</v>
      </c>
      <c r="G28" s="29">
        <f t="shared" si="2"/>
        <v>3.1562819203268644</v>
      </c>
      <c r="H28" s="29">
        <f t="shared" si="2"/>
        <v>8.0001553428221897</v>
      </c>
      <c r="I28" s="29">
        <f t="shared" si="2"/>
        <v>2.1778807715370774</v>
      </c>
      <c r="J28" s="29">
        <f t="shared" si="2"/>
        <v>2.1756464088397789</v>
      </c>
      <c r="K28" s="29">
        <f t="shared" si="2"/>
        <v>2.279685424676686</v>
      </c>
      <c r="L28" s="29">
        <f t="shared" si="2"/>
        <v>3.2495841584158418</v>
      </c>
      <c r="M28" s="29">
        <f t="shared" si="2"/>
        <v>4.480753952525653</v>
      </c>
      <c r="N28" s="29">
        <f t="shared" si="2"/>
        <v>4.4253039238743055</v>
      </c>
      <c r="O28" s="29">
        <f t="shared" si="2"/>
        <v>4.7278241191327757</v>
      </c>
      <c r="P28" s="29">
        <f t="shared" si="2"/>
        <v>5.5496242765492045</v>
      </c>
      <c r="Q28" s="29">
        <f t="shared" si="2"/>
        <v>4.0638444717780509</v>
      </c>
      <c r="R28" s="29">
        <f t="shared" si="2"/>
        <v>4.9951548425838546</v>
      </c>
      <c r="S28" s="29">
        <f t="shared" si="2"/>
        <v>8.1147331288343558</v>
      </c>
      <c r="T28" s="29">
        <f t="shared" si="2"/>
        <v>4.1740612256800871</v>
      </c>
      <c r="U28" s="29">
        <f t="shared" si="2"/>
        <v>4.5966206896551727</v>
      </c>
      <c r="V28" s="29">
        <f t="shared" si="2"/>
        <v>4.3575839783572565</v>
      </c>
      <c r="W28" s="29"/>
    </row>
    <row r="29" spans="1:23" x14ac:dyDescent="0.3">
      <c r="A29" s="15" t="s">
        <v>68</v>
      </c>
      <c r="B29" s="2" t="s">
        <v>30</v>
      </c>
      <c r="C29" s="1" t="s">
        <v>49</v>
      </c>
      <c r="D29" s="3">
        <f t="shared" ref="D29:P29" si="3">D15-D14</f>
        <v>131.092637</v>
      </c>
      <c r="E29" s="3">
        <f t="shared" si="3"/>
        <v>537.06872099999998</v>
      </c>
      <c r="F29" s="3">
        <f t="shared" si="3"/>
        <v>624.48548700000003</v>
      </c>
      <c r="G29" s="3">
        <f t="shared" si="3"/>
        <v>761.14448299999992</v>
      </c>
      <c r="H29" s="3">
        <f t="shared" si="3"/>
        <v>840.53164000000004</v>
      </c>
      <c r="I29" s="3">
        <f t="shared" si="3"/>
        <v>584.93973000000005</v>
      </c>
      <c r="J29" s="3">
        <f t="shared" si="3"/>
        <v>732.79199300000005</v>
      </c>
      <c r="K29" s="3">
        <f t="shared" si="3"/>
        <v>632.80250599999999</v>
      </c>
      <c r="L29" s="3">
        <f t="shared" si="3"/>
        <v>573.62822000000006</v>
      </c>
      <c r="M29" s="3">
        <f t="shared" si="3"/>
        <v>520.06222100000002</v>
      </c>
      <c r="N29" s="3">
        <f t="shared" si="3"/>
        <v>440.37984</v>
      </c>
      <c r="O29" s="3">
        <f t="shared" si="3"/>
        <v>440.01574600000004</v>
      </c>
      <c r="P29" s="3">
        <f t="shared" si="3"/>
        <v>389.43026299999997</v>
      </c>
      <c r="Q29" s="3">
        <f t="shared" ref="Q29:T29" si="4">Q15-Q14</f>
        <v>434.09999999999997</v>
      </c>
      <c r="R29" s="3">
        <f t="shared" si="4"/>
        <v>593.5</v>
      </c>
      <c r="S29" s="3">
        <f t="shared" si="4"/>
        <v>551.4</v>
      </c>
      <c r="T29" s="3">
        <f t="shared" si="4"/>
        <v>654.29999999999995</v>
      </c>
      <c r="U29" s="3">
        <f t="shared" ref="U29" si="5">U15-U14</f>
        <v>0</v>
      </c>
    </row>
    <row r="30" spans="1:23" x14ac:dyDescent="0.3">
      <c r="A30" s="6" t="s">
        <v>69</v>
      </c>
      <c r="B30" s="17" t="s">
        <v>31</v>
      </c>
      <c r="C30" s="6" t="s">
        <v>50</v>
      </c>
      <c r="D30" s="7">
        <f t="shared" ref="D30:S30" si="6">D26+D29+D16+D17</f>
        <v>265.11112199999997</v>
      </c>
      <c r="E30" s="7">
        <f t="shared" si="6"/>
        <v>889.99907699999994</v>
      </c>
      <c r="F30" s="7">
        <f t="shared" si="6"/>
        <v>1088.7599809999999</v>
      </c>
      <c r="G30" s="7">
        <f t="shared" si="6"/>
        <v>977.72847400000001</v>
      </c>
      <c r="H30" s="7">
        <f t="shared" si="6"/>
        <v>1252.6410110000002</v>
      </c>
      <c r="I30" s="7">
        <f t="shared" si="6"/>
        <v>933.72209499999997</v>
      </c>
      <c r="J30" s="7">
        <f t="shared" si="6"/>
        <v>979.01741400000003</v>
      </c>
      <c r="K30" s="7">
        <f t="shared" si="6"/>
        <v>959.03967199999988</v>
      </c>
      <c r="L30" s="7">
        <f t="shared" si="6"/>
        <v>1033.2657280000001</v>
      </c>
      <c r="M30" s="7">
        <f t="shared" si="6"/>
        <v>1028.9398610000001</v>
      </c>
      <c r="N30" s="7">
        <f t="shared" si="6"/>
        <v>1418.8499399999998</v>
      </c>
      <c r="O30" s="7">
        <f t="shared" si="6"/>
        <v>1231.817546</v>
      </c>
      <c r="P30" s="7">
        <f t="shared" si="6"/>
        <v>1449.9523629999999</v>
      </c>
      <c r="Q30" s="7">
        <f t="shared" si="6"/>
        <v>1623.5059999999999</v>
      </c>
      <c r="R30" s="7">
        <f t="shared" si="6"/>
        <v>1758.0703999999998</v>
      </c>
      <c r="S30" s="7">
        <f t="shared" si="6"/>
        <v>1609.5612000000001</v>
      </c>
      <c r="T30" s="7"/>
      <c r="U30" s="7"/>
      <c r="V30" s="7"/>
      <c r="W30" s="7"/>
    </row>
    <row r="31" spans="1:23" x14ac:dyDescent="0.3">
      <c r="A31" s="1" t="s">
        <v>70</v>
      </c>
      <c r="B31" s="2" t="s">
        <v>32</v>
      </c>
      <c r="C31" s="1" t="s">
        <v>51</v>
      </c>
      <c r="D31" s="30">
        <f t="shared" ref="D31:P31" si="7">D30/D7</f>
        <v>13.255556099999998</v>
      </c>
      <c r="E31" s="30">
        <f t="shared" si="7"/>
        <v>14.091182346421785</v>
      </c>
      <c r="F31" s="30">
        <f t="shared" si="7"/>
        <v>10.640734763487099</v>
      </c>
      <c r="G31" s="30">
        <f t="shared" si="7"/>
        <v>14.267159988326281</v>
      </c>
      <c r="H31" s="30">
        <f t="shared" si="7"/>
        <v>24.32359873007243</v>
      </c>
      <c r="I31" s="30">
        <f t="shared" si="7"/>
        <v>5.8322637355086941</v>
      </c>
      <c r="J31" s="30">
        <f t="shared" si="7"/>
        <v>8.6542975823204422</v>
      </c>
      <c r="K31" s="30">
        <f t="shared" si="7"/>
        <v>6.7042269975533015</v>
      </c>
      <c r="L31" s="30">
        <f t="shared" si="7"/>
        <v>7.3073955304101839</v>
      </c>
      <c r="M31" s="30">
        <f t="shared" si="7"/>
        <v>9.0627547540406059</v>
      </c>
      <c r="N31" s="30">
        <f t="shared" si="7"/>
        <v>6.4169995658230361</v>
      </c>
      <c r="O31" s="30">
        <f t="shared" si="7"/>
        <v>7.3551445631340417</v>
      </c>
      <c r="P31" s="30">
        <f t="shared" si="7"/>
        <v>7.5874805754115675</v>
      </c>
      <c r="Q31" s="30">
        <f t="shared" ref="Q31:T31" si="8">Q30/Q7</f>
        <v>5.5470343036763694</v>
      </c>
      <c r="R31" s="30">
        <f t="shared" si="8"/>
        <v>7.540835549455263</v>
      </c>
      <c r="S31" s="30">
        <f t="shared" si="8"/>
        <v>12.343260736196319</v>
      </c>
      <c r="T31" s="30">
        <f t="shared" si="8"/>
        <v>0</v>
      </c>
      <c r="U31" s="30">
        <f t="shared" ref="U31" si="9">U30/U7</f>
        <v>0</v>
      </c>
    </row>
    <row r="32" spans="1:23" x14ac:dyDescent="0.3">
      <c r="A32" s="18" t="s">
        <v>72</v>
      </c>
      <c r="B32" s="17" t="s">
        <v>33</v>
      </c>
      <c r="C32" s="6" t="s">
        <v>109</v>
      </c>
      <c r="D32" s="27">
        <f t="shared" ref="D32:P32" si="10">D7/D6</f>
        <v>0.132013201320132</v>
      </c>
      <c r="E32" s="27">
        <f t="shared" si="10"/>
        <v>0.21371380652976346</v>
      </c>
      <c r="F32" s="27">
        <f t="shared" si="10"/>
        <v>0.24400499147599369</v>
      </c>
      <c r="G32" s="27">
        <f t="shared" si="10"/>
        <v>0.24459799981440108</v>
      </c>
      <c r="H32" s="27">
        <f t="shared" si="10"/>
        <v>0.166335603939162</v>
      </c>
      <c r="I32" s="27">
        <f t="shared" si="10"/>
        <v>0.31995075712912463</v>
      </c>
      <c r="J32" s="27">
        <f t="shared" si="10"/>
        <v>0.23247952125145396</v>
      </c>
      <c r="K32" s="27">
        <f t="shared" si="10"/>
        <v>0.26352779062205822</v>
      </c>
      <c r="L32" s="27">
        <f t="shared" si="10"/>
        <v>0.24695627267186079</v>
      </c>
      <c r="M32" s="27">
        <f t="shared" si="10"/>
        <v>0.20536014672845471</v>
      </c>
      <c r="N32" s="27">
        <f t="shared" si="10"/>
        <v>0.33258075433384726</v>
      </c>
      <c r="O32" s="27">
        <f t="shared" si="10"/>
        <v>0.27343362242365665</v>
      </c>
      <c r="P32" s="27">
        <f t="shared" si="10"/>
        <v>0.2870291793523076</v>
      </c>
      <c r="Q32" s="27">
        <f t="shared" ref="Q32:V32" si="11">Q7/Q6</f>
        <v>0.37292152440655935</v>
      </c>
      <c r="R32" s="27">
        <f t="shared" si="11"/>
        <v>0.3094012103195668</v>
      </c>
      <c r="S32" s="27">
        <f t="shared" si="11"/>
        <v>0.21180865751644604</v>
      </c>
      <c r="T32" s="27">
        <f t="shared" si="11"/>
        <v>0.33857300749109664</v>
      </c>
      <c r="U32" s="27">
        <f t="shared" si="11"/>
        <v>0.30972256322121289</v>
      </c>
      <c r="V32" s="27">
        <f t="shared" si="11"/>
        <v>0.31690878780662063</v>
      </c>
      <c r="W32" s="27"/>
    </row>
    <row r="33" spans="1:23" x14ac:dyDescent="0.3">
      <c r="A33" s="16" t="s">
        <v>73</v>
      </c>
      <c r="B33" s="2" t="s">
        <v>34</v>
      </c>
      <c r="C33" s="1" t="s">
        <v>110</v>
      </c>
      <c r="D33" s="28">
        <f t="shared" ref="D33:P33" si="12">D8/D6</f>
        <v>0.11881188118811881</v>
      </c>
      <c r="E33" s="28">
        <f t="shared" si="12"/>
        <v>0.1477318681616446</v>
      </c>
      <c r="F33" s="28">
        <f t="shared" si="12"/>
        <v>0.18070725409574254</v>
      </c>
      <c r="G33" s="28">
        <f t="shared" si="12"/>
        <v>0.14172978220677152</v>
      </c>
      <c r="H33" s="28">
        <f t="shared" si="12"/>
        <v>4.065773281784444E-2</v>
      </c>
      <c r="I33" s="28">
        <f t="shared" si="12"/>
        <v>0.21763790102262892</v>
      </c>
      <c r="J33" s="28">
        <f t="shared" si="12"/>
        <v>0.1250837440043403</v>
      </c>
      <c r="K33" s="28">
        <f t="shared" si="12"/>
        <v>0.17351384511087325</v>
      </c>
      <c r="L33" s="28">
        <f t="shared" si="12"/>
        <v>0.15498863896355211</v>
      </c>
      <c r="M33" s="28">
        <f t="shared" si="12"/>
        <v>0.11759800889197589</v>
      </c>
      <c r="N33" s="28">
        <f t="shared" si="12"/>
        <v>0.25311021697439173</v>
      </c>
      <c r="O33" s="28">
        <f t="shared" si="12"/>
        <v>0.18985430108931323</v>
      </c>
      <c r="P33" s="28">
        <f t="shared" si="12"/>
        <v>0.20638380002973961</v>
      </c>
      <c r="Q33" s="28">
        <f t="shared" ref="Q33:V33" si="13">Q8/Q6</f>
        <v>0.29621701514977761</v>
      </c>
      <c r="R33" s="28">
        <f t="shared" si="13"/>
        <v>0.20941713557702518</v>
      </c>
      <c r="S33" s="28">
        <f t="shared" si="13"/>
        <v>8.6851295378867863E-2</v>
      </c>
      <c r="T33" s="28">
        <f t="shared" si="13"/>
        <v>0.23946948299152648</v>
      </c>
      <c r="U33" s="28">
        <f t="shared" si="13"/>
        <v>0.20750061379818316</v>
      </c>
      <c r="V33" s="28">
        <f t="shared" si="13"/>
        <v>0.21040723981900453</v>
      </c>
      <c r="W33" s="28"/>
    </row>
    <row r="34" spans="1:23" x14ac:dyDescent="0.3">
      <c r="A34" s="18" t="s">
        <v>74</v>
      </c>
      <c r="B34" s="17" t="s">
        <v>35</v>
      </c>
      <c r="C34" s="6" t="s">
        <v>54</v>
      </c>
      <c r="D34" s="27">
        <f t="shared" ref="D34:P34" si="14">D11/D10</f>
        <v>0.28600405679513191</v>
      </c>
      <c r="E34" s="27">
        <f t="shared" si="14"/>
        <v>0.20826100635347194</v>
      </c>
      <c r="F34" s="27">
        <f t="shared" si="14"/>
        <v>0.16682470655331089</v>
      </c>
      <c r="G34" s="27">
        <f t="shared" si="14"/>
        <v>0.83775419982316535</v>
      </c>
      <c r="H34" s="27">
        <f t="shared" si="14"/>
        <v>-6.0168093629722724E-2</v>
      </c>
      <c r="I34" s="27">
        <f t="shared" si="14"/>
        <v>0.21305194638784242</v>
      </c>
      <c r="J34" s="27">
        <f t="shared" si="14"/>
        <v>8.8277910599145096E-2</v>
      </c>
      <c r="K34" s="27">
        <f t="shared" si="14"/>
        <v>0.14229619163408141</v>
      </c>
      <c r="L34" s="27">
        <f t="shared" si="14"/>
        <v>0.15190784737221022</v>
      </c>
      <c r="M34" s="27">
        <f t="shared" si="14"/>
        <v>7.9356872014576252E-2</v>
      </c>
      <c r="N34" s="27">
        <f t="shared" si="14"/>
        <v>0.19572083062242465</v>
      </c>
      <c r="O34" s="27">
        <f t="shared" si="14"/>
        <v>0.23555815962739701</v>
      </c>
      <c r="P34" s="27">
        <f t="shared" si="14"/>
        <v>0.18989956910000083</v>
      </c>
      <c r="Q34" s="27">
        <f t="shared" ref="Q34:V34" si="15">Q11/Q10</f>
        <v>0.22398659431854454</v>
      </c>
      <c r="R34" s="27">
        <f t="shared" si="15"/>
        <v>0.26009100249522971</v>
      </c>
      <c r="S34" s="27">
        <f t="shared" si="15"/>
        <v>-0.25182534001431639</v>
      </c>
      <c r="T34" s="27">
        <f t="shared" si="15"/>
        <v>0.2637618587740726</v>
      </c>
      <c r="U34" s="27">
        <f t="shared" si="15"/>
        <v>0.26634653861544616</v>
      </c>
      <c r="V34" s="27">
        <f t="shared" si="15"/>
        <v>0.20052026880554955</v>
      </c>
      <c r="W34" s="27"/>
    </row>
    <row r="35" spans="1:23" x14ac:dyDescent="0.3">
      <c r="A35" s="16" t="s">
        <v>75</v>
      </c>
      <c r="B35" s="2" t="s">
        <v>36</v>
      </c>
      <c r="C35" s="1" t="s">
        <v>108</v>
      </c>
      <c r="D35" s="28">
        <f t="shared" ref="D35:P35" si="16">D12/D6</f>
        <v>4.8844884488448849E-2</v>
      </c>
      <c r="E35" s="28">
        <f t="shared" si="16"/>
        <v>7.0528902623388415E-2</v>
      </c>
      <c r="F35" s="28">
        <f t="shared" si="16"/>
        <v>8.3927276744709373E-2</v>
      </c>
      <c r="G35" s="28">
        <f t="shared" si="16"/>
        <v>1.6661074903452856E-2</v>
      </c>
      <c r="H35" s="28">
        <f t="shared" si="16"/>
        <v>-3.5237993727572518E-2</v>
      </c>
      <c r="I35" s="28">
        <f t="shared" si="16"/>
        <v>0.12393455334677653</v>
      </c>
      <c r="J35" s="28">
        <f t="shared" si="16"/>
        <v>4.6378765397593932E-2</v>
      </c>
      <c r="K35" s="28">
        <f t="shared" si="16"/>
        <v>9.6130074590983869E-2</v>
      </c>
      <c r="L35" s="28">
        <f t="shared" si="16"/>
        <v>9.6665741017271212E-2</v>
      </c>
      <c r="M35" s="28">
        <f t="shared" si="16"/>
        <v>6.7615915840957358E-2</v>
      </c>
      <c r="N35" s="28">
        <f t="shared" si="16"/>
        <v>0.17697288760200053</v>
      </c>
      <c r="O35" s="28">
        <f t="shared" si="16"/>
        <v>0.12567755544526005</v>
      </c>
      <c r="P35" s="28">
        <f t="shared" si="16"/>
        <v>0.1442941276309406</v>
      </c>
      <c r="Q35" s="28">
        <f t="shared" ref="Q35:V35" si="17">Q12/Q6</f>
        <v>0.24782436960870505</v>
      </c>
      <c r="R35" s="28">
        <f t="shared" si="17"/>
        <v>0.13381197579360865</v>
      </c>
      <c r="S35" s="28">
        <f t="shared" si="17"/>
        <v>5.6817997238690812E-2</v>
      </c>
      <c r="T35" s="28">
        <f t="shared" si="17"/>
        <v>0.15357976175856566</v>
      </c>
      <c r="U35" s="28">
        <f t="shared" si="17"/>
        <v>0.1236189540878959</v>
      </c>
      <c r="V35" s="28">
        <f t="shared" si="17"/>
        <v>0.11955227435103598</v>
      </c>
      <c r="W35" s="28"/>
    </row>
    <row r="36" spans="1:23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17.870270270270268</v>
      </c>
      <c r="E36" s="29">
        <f t="shared" ref="E36:V36" si="18">IF(E26/E12&lt;0,0,E26/E12)</f>
        <v>16.918229214467676</v>
      </c>
      <c r="F36" s="29">
        <f t="shared" si="18"/>
        <v>13.184177100777861</v>
      </c>
      <c r="G36" s="29">
        <f t="shared" si="18"/>
        <v>46.336760925449873</v>
      </c>
      <c r="H36" s="29">
        <f t="shared" si="18"/>
        <v>0</v>
      </c>
      <c r="I36" s="29">
        <f t="shared" si="18"/>
        <v>5.6224400941722825</v>
      </c>
      <c r="J36" s="29">
        <f t="shared" si="18"/>
        <v>10.905707196029775</v>
      </c>
      <c r="K36" s="29">
        <f t="shared" si="18"/>
        <v>6.2494538346556281</v>
      </c>
      <c r="L36" s="29">
        <f t="shared" si="18"/>
        <v>8.301857339018575</v>
      </c>
      <c r="M36" s="29">
        <f t="shared" si="18"/>
        <v>13.608752875715586</v>
      </c>
      <c r="N36" s="29">
        <f t="shared" si="18"/>
        <v>8.3163638063507168</v>
      </c>
      <c r="O36" s="29">
        <f t="shared" si="18"/>
        <v>10.286212764851838</v>
      </c>
      <c r="P36" s="29">
        <f t="shared" si="18"/>
        <v>11.039285714285713</v>
      </c>
      <c r="Q36" s="29">
        <f t="shared" si="18"/>
        <v>6.1151979434447297</v>
      </c>
      <c r="R36" s="29">
        <f t="shared" si="18"/>
        <v>11.549840325300009</v>
      </c>
      <c r="S36" s="29">
        <f t="shared" si="18"/>
        <v>30.250463121783881</v>
      </c>
      <c r="T36" s="29">
        <f t="shared" si="18"/>
        <v>9.2018925309451465</v>
      </c>
      <c r="U36" s="29">
        <f t="shared" si="18"/>
        <v>11.516657398212514</v>
      </c>
      <c r="V36" s="29">
        <f t="shared" si="18"/>
        <v>11.551069721115539</v>
      </c>
      <c r="W36" s="29"/>
    </row>
    <row r="37" spans="1:23" x14ac:dyDescent="0.3">
      <c r="A37" s="16" t="s">
        <v>77</v>
      </c>
      <c r="B37" s="2" t="s">
        <v>38</v>
      </c>
      <c r="C37" s="1" t="s">
        <v>57</v>
      </c>
      <c r="D37" s="30">
        <f t="shared" ref="D37:S37" si="19">D26/D23</f>
        <v>1.8692524621365414</v>
      </c>
      <c r="E37" s="30">
        <f t="shared" si="19"/>
        <v>4.1143390502858477</v>
      </c>
      <c r="F37" s="30">
        <f t="shared" si="19"/>
        <v>3.9322033898305087</v>
      </c>
      <c r="G37" s="30">
        <f t="shared" si="19"/>
        <v>2.5122898361534047</v>
      </c>
      <c r="H37" s="30">
        <f t="shared" si="19"/>
        <v>7.1436231502979304</v>
      </c>
      <c r="I37" s="30">
        <f t="shared" si="19"/>
        <v>3.0305966050190682</v>
      </c>
      <c r="J37" s="30">
        <f t="shared" si="19"/>
        <v>1.7497859050351687</v>
      </c>
      <c r="K37" s="30">
        <f t="shared" si="19"/>
        <v>1.7742721704967452</v>
      </c>
      <c r="L37" s="30">
        <f t="shared" si="19"/>
        <v>1.9013679526474756</v>
      </c>
      <c r="M37" s="30">
        <f t="shared" si="19"/>
        <v>1.8695555519777374</v>
      </c>
      <c r="N37" s="30">
        <f t="shared" si="19"/>
        <v>3.0354317087218803</v>
      </c>
      <c r="O37" s="30">
        <f t="shared" si="19"/>
        <v>2.3041460251871979</v>
      </c>
      <c r="P37" s="30">
        <f t="shared" si="19"/>
        <v>2.6878119450595008</v>
      </c>
      <c r="Q37" s="30">
        <f t="shared" si="19"/>
        <v>2.2803029141104294</v>
      </c>
      <c r="R37" s="30">
        <f t="shared" si="19"/>
        <v>2.4990781115879823</v>
      </c>
      <c r="S37" s="30">
        <f t="shared" si="19"/>
        <v>2.3762883449359982</v>
      </c>
      <c r="T37" s="30">
        <f t="shared" ref="T37" si="20">T26/T23</f>
        <v>2.2684578748669426</v>
      </c>
      <c r="U37" s="30"/>
      <c r="V37" s="30"/>
      <c r="W37" s="30"/>
    </row>
    <row r="38" spans="1:23" x14ac:dyDescent="0.3">
      <c r="A38" s="18" t="s">
        <v>78</v>
      </c>
      <c r="B38" s="17" t="s">
        <v>39</v>
      </c>
      <c r="C38" s="6" t="s">
        <v>106</v>
      </c>
      <c r="D38" s="55">
        <f t="shared" ref="D38:P38" si="21">D8/D23</f>
        <v>0.25443545310388499</v>
      </c>
      <c r="E38" s="55">
        <f t="shared" si="21"/>
        <v>0.50939213627348034</v>
      </c>
      <c r="F38" s="55">
        <f t="shared" si="21"/>
        <v>0.64217796610169497</v>
      </c>
      <c r="G38" s="55">
        <f t="shared" si="21"/>
        <v>0.46121367130751528</v>
      </c>
      <c r="H38" s="55">
        <f t="shared" si="21"/>
        <v>0.21826196168919984</v>
      </c>
      <c r="I38" s="55">
        <f t="shared" si="21"/>
        <v>0.94655405077345789</v>
      </c>
      <c r="J38" s="55">
        <f t="shared" si="21"/>
        <v>0.43272577968418086</v>
      </c>
      <c r="K38" s="55">
        <f t="shared" si="21"/>
        <v>0.5124518096548929</v>
      </c>
      <c r="L38" s="55">
        <f t="shared" si="21"/>
        <v>0.36721311497117304</v>
      </c>
      <c r="M38" s="55">
        <f t="shared" si="21"/>
        <v>0.23893021854715379</v>
      </c>
      <c r="N38" s="55">
        <f t="shared" si="21"/>
        <v>0.52202334578590159</v>
      </c>
      <c r="O38" s="55">
        <f t="shared" si="21"/>
        <v>0.33838975932978843</v>
      </c>
      <c r="P38" s="55">
        <f t="shared" si="21"/>
        <v>0.34824497115415687</v>
      </c>
      <c r="Q38" s="55">
        <f t="shared" ref="Q38:S38" si="22">Q8/Q23</f>
        <v>0.44570552147239262</v>
      </c>
      <c r="R38" s="55">
        <f t="shared" si="22"/>
        <v>0.33862660944206013</v>
      </c>
      <c r="S38" s="55">
        <f t="shared" si="22"/>
        <v>0.12007635302043565</v>
      </c>
      <c r="T38" s="55">
        <f t="shared" ref="T38" si="23">T8/T23</f>
        <v>0.38438793613246597</v>
      </c>
      <c r="U38" s="55"/>
    </row>
    <row r="39" spans="1:23" x14ac:dyDescent="0.3">
      <c r="A39" s="16" t="s">
        <v>79</v>
      </c>
      <c r="B39" s="2" t="s">
        <v>40</v>
      </c>
      <c r="C39" s="1" t="s">
        <v>107</v>
      </c>
      <c r="D39" s="56">
        <f t="shared" ref="D39:P39" si="24">D12/D23</f>
        <v>0.10460124183159716</v>
      </c>
      <c r="E39" s="56">
        <f t="shared" si="24"/>
        <v>0.24318969781822428</v>
      </c>
      <c r="F39" s="56">
        <f t="shared" si="24"/>
        <v>0.2982517118644068</v>
      </c>
      <c r="G39" s="56">
        <f t="shared" si="24"/>
        <v>5.4218071914766963E-2</v>
      </c>
      <c r="H39" s="56">
        <f t="shared" si="24"/>
        <v>-0.18916730235376314</v>
      </c>
      <c r="I39" s="56">
        <f t="shared" si="24"/>
        <v>0.53901803385336433</v>
      </c>
      <c r="J39" s="56">
        <f t="shared" si="24"/>
        <v>0.16044680767444211</v>
      </c>
      <c r="K39" s="56">
        <f t="shared" si="24"/>
        <v>0.28390835702437278</v>
      </c>
      <c r="L39" s="56">
        <f t="shared" si="24"/>
        <v>0.22902922502788403</v>
      </c>
      <c r="M39" s="56">
        <f t="shared" si="24"/>
        <v>0.1373789037872753</v>
      </c>
      <c r="N39" s="56">
        <f t="shared" si="24"/>
        <v>0.36499506026947742</v>
      </c>
      <c r="O39" s="56">
        <f t="shared" si="24"/>
        <v>0.22400334096340135</v>
      </c>
      <c r="P39" s="56">
        <f t="shared" si="24"/>
        <v>0.24347697981774841</v>
      </c>
      <c r="Q39" s="56">
        <f t="shared" ref="Q39:S39" si="25">Q12/Q23</f>
        <v>0.37289110429447853</v>
      </c>
      <c r="R39" s="56">
        <f t="shared" si="25"/>
        <v>0.21637339055793992</v>
      </c>
      <c r="S39" s="56">
        <f t="shared" si="25"/>
        <v>7.8553783965865695E-2</v>
      </c>
      <c r="T39" s="56">
        <f t="shared" ref="T39" si="26">T12/T23</f>
        <v>0.24652079637295485</v>
      </c>
      <c r="U39" s="56"/>
    </row>
    <row r="40" spans="1:23" x14ac:dyDescent="0.3">
      <c r="A40" s="18" t="s">
        <v>80</v>
      </c>
      <c r="B40" s="17" t="s">
        <v>41</v>
      </c>
      <c r="C40" s="6" t="s">
        <v>61</v>
      </c>
      <c r="D40" s="7">
        <f t="shared" ref="D40:P40" si="27">D20-D19</f>
        <v>1.4100000000000108</v>
      </c>
      <c r="E40" s="7">
        <f t="shared" si="27"/>
        <v>-5.6589409999999987</v>
      </c>
      <c r="F40" s="7">
        <f t="shared" si="27"/>
        <v>-10.673716000000013</v>
      </c>
      <c r="G40" s="7">
        <f t="shared" si="27"/>
        <v>-80.258977999999956</v>
      </c>
      <c r="H40" s="7">
        <f t="shared" si="27"/>
        <v>-57.235861999999997</v>
      </c>
      <c r="I40" s="7">
        <f t="shared" si="27"/>
        <v>-70.866950000000031</v>
      </c>
      <c r="J40" s="7">
        <f t="shared" si="27"/>
        <v>-147.58814999999998</v>
      </c>
      <c r="K40" s="7">
        <f t="shared" si="27"/>
        <v>-47.461257000000046</v>
      </c>
      <c r="L40" s="7">
        <f t="shared" si="27"/>
        <v>1.0719080000000076</v>
      </c>
      <c r="M40" s="7">
        <f t="shared" si="27"/>
        <v>-94.461270000000013</v>
      </c>
      <c r="N40" s="7">
        <f t="shared" si="27"/>
        <v>168.10439700000001</v>
      </c>
      <c r="O40" s="7">
        <f t="shared" si="27"/>
        <v>189.86894000000001</v>
      </c>
      <c r="P40" s="7">
        <f t="shared" si="27"/>
        <v>109.58279800000003</v>
      </c>
      <c r="Q40" s="7">
        <f t="shared" ref="Q40:S40" si="28">Q20-Q19</f>
        <v>127.10000000000002</v>
      </c>
      <c r="R40" s="7">
        <f t="shared" si="28"/>
        <v>123.10000000000002</v>
      </c>
      <c r="S40" s="7">
        <f t="shared" si="28"/>
        <v>110.60000000000002</v>
      </c>
      <c r="T40" s="7">
        <f t="shared" ref="T40" si="29">T20-T19</f>
        <v>156.20000000000005</v>
      </c>
      <c r="U40" s="7"/>
    </row>
    <row r="41" spans="1:23" x14ac:dyDescent="0.3">
      <c r="A41" s="53" t="s">
        <v>96</v>
      </c>
      <c r="B41" s="49" t="s">
        <v>42</v>
      </c>
      <c r="C41" s="52" t="s">
        <v>98</v>
      </c>
      <c r="D41" s="29">
        <f t="shared" ref="D41:P41" si="30">D20/D19</f>
        <v>1.0118917095386692</v>
      </c>
      <c r="E41" s="29">
        <f t="shared" si="30"/>
        <v>0.97072876337098191</v>
      </c>
      <c r="F41" s="29">
        <f t="shared" si="30"/>
        <v>0.97293580248448075</v>
      </c>
      <c r="G41" s="29">
        <f t="shared" si="30"/>
        <v>0.76814362703574612</v>
      </c>
      <c r="H41" s="29">
        <f t="shared" si="30"/>
        <v>0.79221840513519026</v>
      </c>
      <c r="I41" s="29">
        <f t="shared" si="30"/>
        <v>0.80364938980583711</v>
      </c>
      <c r="J41" s="29">
        <f t="shared" si="30"/>
        <v>0.64287255670855148</v>
      </c>
      <c r="K41" s="29">
        <f t="shared" si="30"/>
        <v>0.8526115164105974</v>
      </c>
      <c r="L41" s="29">
        <f t="shared" si="30"/>
        <v>1.0026868394709569</v>
      </c>
      <c r="M41" s="29">
        <f t="shared" si="30"/>
        <v>0.82001326948906594</v>
      </c>
      <c r="N41" s="29">
        <f t="shared" si="30"/>
        <v>1.69302753097145</v>
      </c>
      <c r="O41" s="29">
        <f t="shared" si="30"/>
        <v>1.637852836219047</v>
      </c>
      <c r="P41" s="29">
        <f t="shared" si="30"/>
        <v>1.4006034839783317</v>
      </c>
      <c r="Q41" s="29">
        <f t="shared" ref="Q41:S41" si="31">Q20/Q19</f>
        <v>1.3647058823529412</v>
      </c>
      <c r="R41" s="29">
        <f t="shared" si="31"/>
        <v>1.4484517304189437</v>
      </c>
      <c r="S41" s="29">
        <f t="shared" si="31"/>
        <v>1.3342399516470234</v>
      </c>
      <c r="T41" s="29">
        <f t="shared" ref="T41" si="32">T20/T19</f>
        <v>1.376930501930502</v>
      </c>
      <c r="U41" s="29"/>
    </row>
    <row r="42" spans="1:23" x14ac:dyDescent="0.3">
      <c r="A42" s="16" t="s">
        <v>81</v>
      </c>
      <c r="B42" s="17" t="s">
        <v>43</v>
      </c>
      <c r="C42" s="1" t="s">
        <v>60</v>
      </c>
      <c r="D42" s="30">
        <f t="shared" ref="D42:P42" si="33">(D20-D21)/D19</f>
        <v>0.65092350510247121</v>
      </c>
      <c r="E42" s="30">
        <f t="shared" si="33"/>
        <v>-2.5875817229610205</v>
      </c>
      <c r="F42" s="30">
        <f t="shared" si="33"/>
        <v>-1.4050503876679254</v>
      </c>
      <c r="G42" s="30">
        <f t="shared" si="33"/>
        <v>0.60170731893542395</v>
      </c>
      <c r="H42" s="30">
        <f t="shared" si="33"/>
        <v>0.65467504360997175</v>
      </c>
      <c r="I42" s="30">
        <f t="shared" si="33"/>
        <v>0.66636468783936753</v>
      </c>
      <c r="J42" s="30">
        <f t="shared" si="33"/>
        <v>0.49350365205196739</v>
      </c>
      <c r="K42" s="30">
        <f t="shared" si="33"/>
        <v>0.70528817891727791</v>
      </c>
      <c r="L42" s="30">
        <f t="shared" si="33"/>
        <v>0.86525194048006426</v>
      </c>
      <c r="M42" s="30">
        <f t="shared" si="33"/>
        <v>0.71573928480336046</v>
      </c>
      <c r="N42" s="30">
        <f t="shared" si="33"/>
        <v>1.4605267305991823</v>
      </c>
      <c r="O42" s="30">
        <f t="shared" si="33"/>
        <v>1.4400141713167525</v>
      </c>
      <c r="P42" s="30">
        <f t="shared" si="33"/>
        <v>1.2151561990530413</v>
      </c>
      <c r="Q42" s="30">
        <f t="shared" ref="Q42:S42" si="34">(Q20-Q21)/Q19</f>
        <v>1.163558106169297</v>
      </c>
      <c r="R42" s="30">
        <f t="shared" si="34"/>
        <v>1.1351548269581058</v>
      </c>
      <c r="S42" s="30">
        <f t="shared" si="34"/>
        <v>1.1060743427017226</v>
      </c>
      <c r="T42" s="30">
        <f t="shared" ref="T42" si="35">(T20-T21)/T19</f>
        <v>1.1990830115830118</v>
      </c>
      <c r="U42" s="30"/>
    </row>
    <row r="43" spans="1:23" x14ac:dyDescent="0.3">
      <c r="A43" s="18" t="s">
        <v>82</v>
      </c>
      <c r="B43" s="49" t="s">
        <v>44</v>
      </c>
      <c r="C43" s="6" t="s">
        <v>62</v>
      </c>
      <c r="D43" s="29">
        <f t="shared" ref="D43:P43" si="36">D14/D19</f>
        <v>2.5363607995277052E-2</v>
      </c>
      <c r="E43" s="29">
        <f t="shared" si="36"/>
        <v>7.2060437483598125E-2</v>
      </c>
      <c r="F43" s="29">
        <f t="shared" si="36"/>
        <v>0.31825369635993667</v>
      </c>
      <c r="G43" s="29">
        <f t="shared" si="36"/>
        <v>0.21095384456488825</v>
      </c>
      <c r="H43" s="29">
        <f t="shared" si="36"/>
        <v>0.28182797347964822</v>
      </c>
      <c r="I43" s="29">
        <f t="shared" si="36"/>
        <v>0.35922977231600289</v>
      </c>
      <c r="J43" s="29">
        <f t="shared" si="36"/>
        <v>0.26960449044546408</v>
      </c>
      <c r="K43" s="29">
        <f t="shared" si="36"/>
        <v>0.34353865550811152</v>
      </c>
      <c r="L43" s="29">
        <f t="shared" si="36"/>
        <v>0.58246199341782634</v>
      </c>
      <c r="M43" s="29">
        <f t="shared" si="36"/>
        <v>0.49688660582387806</v>
      </c>
      <c r="N43" s="29">
        <f t="shared" si="36"/>
        <v>1.0024278374481594</v>
      </c>
      <c r="O43" s="29">
        <f t="shared" si="36"/>
        <v>1.0081478889961628</v>
      </c>
      <c r="P43" s="29">
        <f t="shared" si="36"/>
        <v>0.70774547241884367</v>
      </c>
      <c r="Q43" s="29">
        <f>Q14/Q19</f>
        <v>0.69096126255380208</v>
      </c>
      <c r="R43" s="29">
        <f t="shared" ref="R43:S43" si="37">R14/R19</f>
        <v>0.66047358834244085</v>
      </c>
      <c r="S43" s="29">
        <f t="shared" si="37"/>
        <v>0.7694167422181929</v>
      </c>
      <c r="T43" s="29">
        <f t="shared" ref="T43" si="38">T14/T19</f>
        <v>0.8260135135135136</v>
      </c>
      <c r="U43" s="29"/>
    </row>
    <row r="44" spans="1:23" x14ac:dyDescent="0.3">
      <c r="A44" s="16" t="s">
        <v>83</v>
      </c>
      <c r="B44" s="17" t="s">
        <v>45</v>
      </c>
      <c r="C44" s="1" t="s">
        <v>63</v>
      </c>
      <c r="D44" s="30">
        <f t="shared" ref="D44:P44" si="39">D29/D7</f>
        <v>6.5546318499999998</v>
      </c>
      <c r="E44" s="30">
        <f t="shared" si="39"/>
        <v>8.5033046390120326</v>
      </c>
      <c r="F44" s="30">
        <f t="shared" si="39"/>
        <v>6.1032592552775613</v>
      </c>
      <c r="G44" s="30">
        <f t="shared" si="39"/>
        <v>11.106734028892454</v>
      </c>
      <c r="H44" s="30">
        <f t="shared" si="39"/>
        <v>16.32131963727451</v>
      </c>
      <c r="I44" s="30">
        <f t="shared" si="39"/>
        <v>3.6536811038376977</v>
      </c>
      <c r="J44" s="30">
        <f t="shared" si="39"/>
        <v>6.4777192751381216</v>
      </c>
      <c r="K44" s="30">
        <f t="shared" si="39"/>
        <v>4.4236456204124428</v>
      </c>
      <c r="L44" s="30">
        <f t="shared" si="39"/>
        <v>4.0567766619519094</v>
      </c>
      <c r="M44" s="30">
        <f t="shared" si="39"/>
        <v>4.580633469855111</v>
      </c>
      <c r="N44" s="30">
        <f t="shared" si="39"/>
        <v>1.9916956419487308</v>
      </c>
      <c r="O44" s="30">
        <f t="shared" si="39"/>
        <v>2.6273204440012661</v>
      </c>
      <c r="P44" s="30">
        <f t="shared" si="39"/>
        <v>2.0378562988623634</v>
      </c>
      <c r="Q44" s="30">
        <f t="shared" ref="Q44:S44" si="40">Q29/Q7</f>
        <v>1.4831898318983188</v>
      </c>
      <c r="R44" s="30">
        <f t="shared" si="40"/>
        <v>2.545680706871408</v>
      </c>
      <c r="S44" s="30">
        <f t="shared" si="40"/>
        <v>4.2285276073619631</v>
      </c>
      <c r="T44" s="30">
        <f t="shared" ref="T44" si="41">T29/T7</f>
        <v>2.3732317736670292</v>
      </c>
      <c r="U44" s="30"/>
    </row>
    <row r="45" spans="1:23" x14ac:dyDescent="0.3">
      <c r="A45" s="18" t="s">
        <v>84</v>
      </c>
      <c r="B45" s="54" t="s">
        <v>99</v>
      </c>
      <c r="C45" s="6" t="s">
        <v>64</v>
      </c>
      <c r="D45" s="21">
        <f t="shared" ref="D45:P45" si="42">D18/D23</f>
        <v>3.075841921966965</v>
      </c>
      <c r="E45" s="21">
        <f t="shared" si="42"/>
        <v>8.0261346400653366</v>
      </c>
      <c r="F45" s="21">
        <f t="shared" si="42"/>
        <v>7.9478161016949151</v>
      </c>
      <c r="G45" s="21">
        <f t="shared" si="42"/>
        <v>11.945514229258864</v>
      </c>
      <c r="H45" s="21">
        <f t="shared" si="42"/>
        <v>18.47876718403317</v>
      </c>
      <c r="I45" s="21">
        <f t="shared" si="42"/>
        <v>9.3464965661785495</v>
      </c>
      <c r="J45" s="21">
        <f t="shared" si="42"/>
        <v>7.0167835266572336</v>
      </c>
      <c r="K45" s="21">
        <f t="shared" si="42"/>
        <v>5.1384089965445146</v>
      </c>
      <c r="L45" s="21">
        <f t="shared" si="42"/>
        <v>4.0534382435158323</v>
      </c>
      <c r="M45" s="21">
        <f t="shared" si="42"/>
        <v>3.5536896413583365</v>
      </c>
      <c r="N45" s="21">
        <f t="shared" si="42"/>
        <v>2.7079297962639122</v>
      </c>
      <c r="O45" s="21">
        <f t="shared" si="42"/>
        <v>2.7395481723670509</v>
      </c>
      <c r="P45" s="21">
        <f t="shared" si="42"/>
        <v>2.0668765074559845</v>
      </c>
      <c r="Q45" s="21">
        <f t="shared" ref="Q45:S45" si="43">Q18/Q23</f>
        <v>1.8608128834355828</v>
      </c>
      <c r="R45" s="21">
        <f t="shared" si="43"/>
        <v>2.1811158798283263</v>
      </c>
      <c r="S45" s="21">
        <f t="shared" si="43"/>
        <v>2.3370761284527286</v>
      </c>
      <c r="T45" s="21">
        <f t="shared" ref="T45" si="44">T18/T23</f>
        <v>3.0226690321308891</v>
      </c>
      <c r="U45" s="21"/>
    </row>
    <row r="46" spans="1:23" x14ac:dyDescent="0.3">
      <c r="A46" s="18" t="s">
        <v>97</v>
      </c>
      <c r="B46" s="17" t="s">
        <v>100</v>
      </c>
      <c r="C46" s="6" t="s">
        <v>111</v>
      </c>
      <c r="D46" s="28">
        <f t="shared" ref="D46:P46" si="45">D13/D4</f>
        <v>0</v>
      </c>
      <c r="E46" s="28">
        <f t="shared" si="45"/>
        <v>7.236842105263157E-3</v>
      </c>
      <c r="F46" s="28">
        <f t="shared" si="45"/>
        <v>1.0999999999999999E-2</v>
      </c>
      <c r="G46" s="28">
        <f t="shared" si="45"/>
        <v>2.0952380952380951E-2</v>
      </c>
      <c r="H46" s="28">
        <f t="shared" si="45"/>
        <v>0</v>
      </c>
      <c r="I46" s="28">
        <f t="shared" si="45"/>
        <v>0</v>
      </c>
      <c r="J46" s="28">
        <f t="shared" si="45"/>
        <v>1.6666666666666666E-2</v>
      </c>
      <c r="K46" s="28">
        <f t="shared" si="45"/>
        <v>1.2578616352201257E-2</v>
      </c>
      <c r="L46" s="28">
        <f t="shared" si="45"/>
        <v>1.1160714285714286E-2</v>
      </c>
      <c r="M46" s="28">
        <f t="shared" si="45"/>
        <v>1.6935483870967744E-2</v>
      </c>
      <c r="N46" s="28">
        <f t="shared" si="45"/>
        <v>0.10482180293501049</v>
      </c>
      <c r="O46" s="28">
        <f t="shared" si="45"/>
        <v>6.476683937823835E-2</v>
      </c>
      <c r="P46" s="28">
        <f t="shared" si="45"/>
        <v>5.8027079303675046E-2</v>
      </c>
      <c r="Q46" s="28">
        <f t="shared" ref="Q46:W46" si="46">Q13/Q4</f>
        <v>0.12413793103448276</v>
      </c>
      <c r="R46" s="28">
        <f t="shared" si="46"/>
        <v>0.12676056338028169</v>
      </c>
      <c r="S46" s="28">
        <f t="shared" si="46"/>
        <v>5.8139534883720929E-2</v>
      </c>
      <c r="T46" s="28">
        <f t="shared" ref="T46" si="47">T13/T4</f>
        <v>6.9518716577540107E-2</v>
      </c>
      <c r="U46" s="28">
        <f t="shared" si="46"/>
        <v>5.6587091069849688E-2</v>
      </c>
      <c r="V46" s="28">
        <f t="shared" si="46"/>
        <v>4.5977011494252873E-2</v>
      </c>
      <c r="W46" s="28">
        <f t="shared" si="46"/>
        <v>0</v>
      </c>
    </row>
  </sheetData>
  <mergeCells count="2">
    <mergeCell ref="A6:A13"/>
    <mergeCell ref="A14:A23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D979C-D583-465D-9518-D0EA67F5CDC1}">
  <sheetPr codeName="Planilha24"/>
  <dimension ref="A2:T46"/>
  <sheetViews>
    <sheetView tabSelected="1" topLeftCell="C1" workbookViewId="0">
      <selection activeCell="D2" sqref="D2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19" width="8.33203125" customWidth="1"/>
  </cols>
  <sheetData>
    <row r="2" spans="1:20" x14ac:dyDescent="0.3">
      <c r="Q2" s="104" t="s">
        <v>102</v>
      </c>
      <c r="R2" s="107"/>
      <c r="S2" s="107"/>
    </row>
    <row r="3" spans="1:20" s="10" customFormat="1" x14ac:dyDescent="0.3">
      <c r="A3" s="9" t="s">
        <v>25</v>
      </c>
      <c r="B3" s="8" t="s">
        <v>23</v>
      </c>
      <c r="C3" s="9" t="s">
        <v>24</v>
      </c>
      <c r="D3" s="8">
        <v>6</v>
      </c>
      <c r="E3" s="8">
        <v>7</v>
      </c>
      <c r="F3" s="8">
        <v>8</v>
      </c>
      <c r="G3" s="8">
        <v>9</v>
      </c>
      <c r="H3" s="8">
        <v>10</v>
      </c>
      <c r="I3" s="8">
        <v>11</v>
      </c>
      <c r="J3" s="8">
        <v>12</v>
      </c>
      <c r="K3" s="8">
        <v>13</v>
      </c>
      <c r="L3" s="8">
        <v>14</v>
      </c>
      <c r="M3" s="8">
        <v>15</v>
      </c>
      <c r="N3" s="8">
        <v>16</v>
      </c>
      <c r="O3" s="8">
        <v>17</v>
      </c>
      <c r="P3" s="8">
        <v>18</v>
      </c>
      <c r="Q3" s="8">
        <v>19</v>
      </c>
      <c r="R3" s="8">
        <v>20</v>
      </c>
      <c r="S3" s="8" t="s">
        <v>3</v>
      </c>
      <c r="T3" s="8" t="s">
        <v>94</v>
      </c>
    </row>
    <row r="4" spans="1:20" x14ac:dyDescent="0.3">
      <c r="A4" s="4" t="s">
        <v>5</v>
      </c>
      <c r="B4" s="11">
        <v>1</v>
      </c>
      <c r="C4" s="6" t="s">
        <v>4</v>
      </c>
      <c r="D4" s="19">
        <v>12</v>
      </c>
      <c r="E4" s="19">
        <v>8.15</v>
      </c>
      <c r="F4" s="19">
        <v>3.76</v>
      </c>
      <c r="G4" s="19">
        <v>3.34</v>
      </c>
      <c r="H4" s="19">
        <v>1.49</v>
      </c>
      <c r="I4" s="19">
        <v>1.08</v>
      </c>
      <c r="J4" s="19">
        <v>0.56000000000000005</v>
      </c>
      <c r="K4" s="19">
        <v>0.69</v>
      </c>
      <c r="L4" s="19">
        <v>0.187</v>
      </c>
      <c r="M4" s="19">
        <v>0.22700000000000001</v>
      </c>
      <c r="N4" s="19">
        <v>0.17899999999999999</v>
      </c>
      <c r="O4" s="19">
        <v>0.32600000000000001</v>
      </c>
      <c r="P4" s="19">
        <v>0.43</v>
      </c>
      <c r="Q4" s="19">
        <v>0.379</v>
      </c>
      <c r="R4" s="19">
        <v>0.39</v>
      </c>
      <c r="S4" s="19">
        <v>0.85599999999999998</v>
      </c>
      <c r="T4" s="1">
        <v>1.395</v>
      </c>
    </row>
    <row r="5" spans="1:20" x14ac:dyDescent="0.3">
      <c r="A5" s="5" t="s">
        <v>8</v>
      </c>
      <c r="B5" s="12">
        <v>3</v>
      </c>
      <c r="C5" s="1" t="s">
        <v>86</v>
      </c>
      <c r="D5" s="3">
        <v>74.986999999999995</v>
      </c>
      <c r="E5" s="3">
        <v>87.932269000000005</v>
      </c>
      <c r="F5" s="3">
        <v>100</v>
      </c>
      <c r="G5" s="3">
        <v>100</v>
      </c>
      <c r="H5" s="3">
        <v>100</v>
      </c>
      <c r="I5" s="3">
        <v>100</v>
      </c>
      <c r="J5" s="3">
        <v>100</v>
      </c>
      <c r="K5" s="3">
        <v>100</v>
      </c>
      <c r="L5" s="3">
        <v>100</v>
      </c>
      <c r="M5" s="3">
        <v>100</v>
      </c>
      <c r="N5" s="3">
        <v>100</v>
      </c>
      <c r="O5" s="3">
        <v>100</v>
      </c>
      <c r="P5" s="3">
        <v>100</v>
      </c>
      <c r="Q5" s="3">
        <v>100</v>
      </c>
      <c r="R5" s="3">
        <v>100</v>
      </c>
      <c r="S5" s="3">
        <v>100</v>
      </c>
      <c r="T5" s="3">
        <v>100</v>
      </c>
    </row>
    <row r="6" spans="1:20" x14ac:dyDescent="0.3">
      <c r="A6" s="101" t="s">
        <v>7</v>
      </c>
      <c r="B6" s="13">
        <v>4</v>
      </c>
      <c r="C6" s="6" t="s">
        <v>144</v>
      </c>
      <c r="D6" s="7">
        <v>278.7</v>
      </c>
      <c r="E6" s="7">
        <v>518.5</v>
      </c>
      <c r="F6" s="7">
        <v>635.1</v>
      </c>
      <c r="G6" s="7">
        <v>606.1</v>
      </c>
      <c r="H6" s="7">
        <v>591.63932999999997</v>
      </c>
      <c r="I6" s="7">
        <v>550.11222999999995</v>
      </c>
      <c r="J6" s="7">
        <v>517.9</v>
      </c>
      <c r="K6" s="7">
        <v>592.9</v>
      </c>
      <c r="L6" s="7">
        <v>225.8</v>
      </c>
      <c r="M6" s="7">
        <v>252.6</v>
      </c>
      <c r="N6" s="7">
        <v>217.1</v>
      </c>
      <c r="O6" s="7">
        <v>185.6</v>
      </c>
      <c r="P6" s="7">
        <v>217.4</v>
      </c>
      <c r="Q6" s="7">
        <v>266.89999999999998</v>
      </c>
      <c r="R6" s="7">
        <v>249.3</v>
      </c>
      <c r="S6" s="7">
        <v>270</v>
      </c>
      <c r="T6" s="1">
        <v>300</v>
      </c>
    </row>
    <row r="7" spans="1:20" x14ac:dyDescent="0.3">
      <c r="A7" s="101"/>
      <c r="B7" s="13">
        <v>5</v>
      </c>
      <c r="C7" s="1" t="s">
        <v>9</v>
      </c>
      <c r="D7" s="3">
        <v>24.9</v>
      </c>
      <c r="E7" s="3">
        <v>37</v>
      </c>
      <c r="F7" s="3">
        <v>61.7</v>
      </c>
      <c r="G7" s="3">
        <v>66.8</v>
      </c>
      <c r="H7" s="3">
        <v>56.6</v>
      </c>
      <c r="I7" s="3">
        <v>8.9</v>
      </c>
      <c r="J7" s="3">
        <v>3.9</v>
      </c>
      <c r="K7" s="3">
        <v>29.3</v>
      </c>
      <c r="L7" s="3">
        <v>-32.700000000000003</v>
      </c>
      <c r="M7" s="3">
        <v>11.5</v>
      </c>
      <c r="N7" s="3">
        <v>-6.9</v>
      </c>
      <c r="O7" s="3">
        <v>-3.8</v>
      </c>
      <c r="P7" s="3">
        <v>16.5</v>
      </c>
      <c r="Q7" s="3">
        <v>26.8</v>
      </c>
      <c r="R7" s="3">
        <v>19</v>
      </c>
      <c r="S7" s="3"/>
      <c r="T7" s="1"/>
    </row>
    <row r="8" spans="1:20" x14ac:dyDescent="0.3">
      <c r="A8" s="101"/>
      <c r="B8" s="13">
        <v>6</v>
      </c>
      <c r="C8" s="6" t="s">
        <v>10</v>
      </c>
      <c r="D8" s="7">
        <v>16.899999999999999</v>
      </c>
      <c r="E8" s="7">
        <v>21.8</v>
      </c>
      <c r="F8" s="7">
        <v>39.6</v>
      </c>
      <c r="G8" s="7">
        <v>38.299999999999997</v>
      </c>
      <c r="H8" s="7">
        <v>-21.7</v>
      </c>
      <c r="I8" s="7">
        <v>-20.8</v>
      </c>
      <c r="J8" s="7">
        <v>-15.9</v>
      </c>
      <c r="K8" s="7">
        <v>-21.3</v>
      </c>
      <c r="L8" s="7">
        <v>-47.3</v>
      </c>
      <c r="M8" s="7">
        <v>-0.5</v>
      </c>
      <c r="N8" s="7">
        <v>-17.600000000000001</v>
      </c>
      <c r="O8" s="7">
        <v>-14.4</v>
      </c>
      <c r="P8" s="7">
        <v>7.7</v>
      </c>
      <c r="Q8" s="7">
        <v>18.3</v>
      </c>
      <c r="R8" s="7">
        <v>13</v>
      </c>
      <c r="S8" s="7"/>
      <c r="T8" s="1"/>
    </row>
    <row r="9" spans="1:20" x14ac:dyDescent="0.3">
      <c r="A9" s="101"/>
      <c r="B9" s="13">
        <v>11</v>
      </c>
      <c r="C9" s="1" t="s">
        <v>11</v>
      </c>
      <c r="D9" s="3">
        <v>-2.2000000000000002</v>
      </c>
      <c r="E9" s="3">
        <v>-4.4000000000000004</v>
      </c>
      <c r="F9" s="3">
        <v>-23.4</v>
      </c>
      <c r="G9" s="3">
        <v>-26.7</v>
      </c>
      <c r="H9" s="3">
        <v>-20.2</v>
      </c>
      <c r="I9" s="3">
        <v>-26.4</v>
      </c>
      <c r="J9" s="3">
        <v>-36.299999999999997</v>
      </c>
      <c r="K9" s="3">
        <v>-49.2</v>
      </c>
      <c r="L9" s="3">
        <v>-19.399999999999999</v>
      </c>
      <c r="M9" s="3">
        <v>-0.7</v>
      </c>
      <c r="N9" s="3">
        <v>-28.9</v>
      </c>
      <c r="O9" s="3">
        <v>20.3</v>
      </c>
      <c r="P9" s="3">
        <v>-0.2</v>
      </c>
      <c r="Q9" s="3">
        <v>6.6</v>
      </c>
      <c r="R9" s="3">
        <v>-2.2000000000000002</v>
      </c>
      <c r="S9" s="3"/>
      <c r="T9" s="1"/>
    </row>
    <row r="10" spans="1:20" x14ac:dyDescent="0.3">
      <c r="A10" s="101"/>
      <c r="B10" s="13">
        <v>12</v>
      </c>
      <c r="C10" s="6" t="s">
        <v>12</v>
      </c>
      <c r="D10" s="7">
        <v>14.7</v>
      </c>
      <c r="E10" s="7">
        <v>17.399999999999999</v>
      </c>
      <c r="F10" s="7">
        <v>16.2</v>
      </c>
      <c r="G10" s="7">
        <v>11.6</v>
      </c>
      <c r="H10" s="7">
        <v>-41.9</v>
      </c>
      <c r="I10" s="7">
        <v>-47.1</v>
      </c>
      <c r="J10" s="7">
        <v>-52.2</v>
      </c>
      <c r="K10" s="7">
        <v>-70.5</v>
      </c>
      <c r="L10" s="7">
        <v>-66.7</v>
      </c>
      <c r="M10" s="7">
        <v>2.5</v>
      </c>
      <c r="N10" s="7">
        <v>-48.9</v>
      </c>
      <c r="O10" s="7">
        <v>3</v>
      </c>
      <c r="P10" s="7">
        <v>3.3</v>
      </c>
      <c r="Q10" s="7">
        <v>22.4</v>
      </c>
      <c r="R10" s="7">
        <v>8.1</v>
      </c>
      <c r="S10" s="7"/>
      <c r="T10" s="1"/>
    </row>
    <row r="11" spans="1:20" x14ac:dyDescent="0.3">
      <c r="A11" s="101"/>
      <c r="B11" s="13">
        <v>13</v>
      </c>
      <c r="C11" s="1" t="s">
        <v>13</v>
      </c>
      <c r="D11" s="3">
        <v>4.4000000000000004</v>
      </c>
      <c r="E11" s="3">
        <v>4.8</v>
      </c>
      <c r="F11" s="3">
        <v>2.8</v>
      </c>
      <c r="G11" s="3">
        <v>7.9</v>
      </c>
      <c r="H11" s="3">
        <v>10.4</v>
      </c>
      <c r="I11" s="3">
        <v>0.4</v>
      </c>
      <c r="J11" s="3">
        <v>2.2999999999999998</v>
      </c>
      <c r="K11" s="3">
        <v>0.3</v>
      </c>
      <c r="L11" s="3">
        <v>4.9000000000000004</v>
      </c>
      <c r="M11" s="3">
        <v>0.5</v>
      </c>
      <c r="N11" s="3">
        <v>1.2</v>
      </c>
      <c r="O11" s="3">
        <v>-0.7</v>
      </c>
      <c r="P11" s="3">
        <v>1.7</v>
      </c>
      <c r="Q11" s="3">
        <v>1</v>
      </c>
      <c r="R11" s="3">
        <v>1.4</v>
      </c>
      <c r="S11" s="3"/>
      <c r="T11" s="1"/>
    </row>
    <row r="12" spans="1:20" x14ac:dyDescent="0.3">
      <c r="A12" s="101"/>
      <c r="B12" s="13">
        <v>14</v>
      </c>
      <c r="C12" s="6" t="s">
        <v>105</v>
      </c>
      <c r="D12" s="7">
        <v>10.3</v>
      </c>
      <c r="E12" s="7">
        <v>12.6</v>
      </c>
      <c r="F12" s="7">
        <v>4.4000000000000004</v>
      </c>
      <c r="G12" s="7">
        <v>-5.7</v>
      </c>
      <c r="H12" s="7">
        <v>-54.8</v>
      </c>
      <c r="I12" s="7">
        <v>-49.6</v>
      </c>
      <c r="J12" s="7">
        <v>-55.9</v>
      </c>
      <c r="K12" s="7">
        <v>-69</v>
      </c>
      <c r="L12" s="7">
        <v>-93.5</v>
      </c>
      <c r="M12" s="7">
        <v>-0.5</v>
      </c>
      <c r="N12" s="7">
        <v>-43.6</v>
      </c>
      <c r="O12" s="7">
        <v>6.5</v>
      </c>
      <c r="P12" s="7">
        <v>1.3</v>
      </c>
      <c r="Q12" s="7">
        <v>23.5</v>
      </c>
      <c r="R12" s="7">
        <v>6.3</v>
      </c>
      <c r="S12" s="7">
        <v>12</v>
      </c>
      <c r="T12" s="1">
        <v>20</v>
      </c>
    </row>
    <row r="13" spans="1:20" x14ac:dyDescent="0.3">
      <c r="A13" s="101"/>
      <c r="B13" s="13">
        <v>2</v>
      </c>
      <c r="C13" s="1" t="s">
        <v>15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1"/>
    </row>
    <row r="14" spans="1:20" x14ac:dyDescent="0.3">
      <c r="A14" s="111" t="s">
        <v>14</v>
      </c>
      <c r="B14" s="14">
        <v>8</v>
      </c>
      <c r="C14" s="6" t="s">
        <v>16</v>
      </c>
      <c r="D14" s="7">
        <v>9.5955700000000004</v>
      </c>
      <c r="E14" s="7">
        <v>32.312299000000003</v>
      </c>
      <c r="F14" s="7">
        <v>84.3</v>
      </c>
      <c r="G14" s="7">
        <v>24.8</v>
      </c>
      <c r="H14" s="7">
        <v>74.712520999999995</v>
      </c>
      <c r="I14" s="7">
        <v>77.886482999999998</v>
      </c>
      <c r="J14" s="7">
        <v>38.024569</v>
      </c>
      <c r="K14" s="7">
        <v>38.843708999999997</v>
      </c>
      <c r="L14" s="7">
        <v>24.4</v>
      </c>
      <c r="M14" s="7">
        <v>41</v>
      </c>
      <c r="N14" s="7">
        <v>53.8</v>
      </c>
      <c r="O14" s="7">
        <v>46.3</v>
      </c>
      <c r="P14" s="7">
        <v>35.1</v>
      </c>
      <c r="Q14" s="7">
        <v>36.4</v>
      </c>
      <c r="R14" s="7">
        <v>45.1</v>
      </c>
      <c r="S14" s="7">
        <v>42.9</v>
      </c>
      <c r="T14" s="1"/>
    </row>
    <row r="15" spans="1:20" x14ac:dyDescent="0.3">
      <c r="A15" s="112"/>
      <c r="B15" s="14">
        <v>7</v>
      </c>
      <c r="C15" s="1" t="s">
        <v>17</v>
      </c>
      <c r="D15" s="3">
        <v>147</v>
      </c>
      <c r="E15" s="3">
        <v>244</v>
      </c>
      <c r="F15" s="3">
        <v>689.5</v>
      </c>
      <c r="G15" s="3">
        <v>468.4</v>
      </c>
      <c r="H15" s="3">
        <v>395.58614999999998</v>
      </c>
      <c r="I15" s="3">
        <v>407.76062000000002</v>
      </c>
      <c r="J15" s="3">
        <v>414.68723</v>
      </c>
      <c r="K15" s="3">
        <v>374.86917999999997</v>
      </c>
      <c r="L15" s="3">
        <v>305.49587000000002</v>
      </c>
      <c r="M15" s="3">
        <v>300.87151</v>
      </c>
      <c r="N15" s="3">
        <v>288.95</v>
      </c>
      <c r="O15" s="3">
        <v>235.60962000000001</v>
      </c>
      <c r="P15" s="3">
        <v>219</v>
      </c>
      <c r="Q15" s="3">
        <v>164.7</v>
      </c>
      <c r="R15" s="3">
        <v>141.1</v>
      </c>
      <c r="S15" s="3">
        <v>135.6</v>
      </c>
      <c r="T15" s="1"/>
    </row>
    <row r="16" spans="1:20" x14ac:dyDescent="0.3">
      <c r="A16" s="112"/>
      <c r="B16" s="14">
        <v>9</v>
      </c>
      <c r="C16" s="6" t="s">
        <v>92</v>
      </c>
      <c r="D16" s="7">
        <v>5.6594959999999999</v>
      </c>
      <c r="E16" s="7">
        <v>3.690499</v>
      </c>
      <c r="F16" s="7">
        <v>60.4</v>
      </c>
      <c r="G16" s="7">
        <v>19</v>
      </c>
      <c r="H16" s="7">
        <v>31.876822000000001</v>
      </c>
      <c r="I16" s="7">
        <v>31.783622999999999</v>
      </c>
      <c r="J16" s="7">
        <v>50.975912000000001</v>
      </c>
      <c r="K16" s="7">
        <v>29.676431000000001</v>
      </c>
      <c r="L16" s="7">
        <v>-24.9</v>
      </c>
      <c r="M16" s="7">
        <v>-28.4</v>
      </c>
      <c r="N16" s="7">
        <v>-30.2</v>
      </c>
      <c r="O16" s="7">
        <v>-30.7</v>
      </c>
      <c r="P16" s="7">
        <v>-35.9</v>
      </c>
      <c r="Q16" s="7">
        <v>-39</v>
      </c>
      <c r="R16" s="7">
        <v>-1.5</v>
      </c>
      <c r="S16" s="7">
        <v>-1.2</v>
      </c>
      <c r="T16" s="1"/>
    </row>
    <row r="17" spans="1:20" x14ac:dyDescent="0.3">
      <c r="A17" s="112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1"/>
    </row>
    <row r="18" spans="1:20" x14ac:dyDescent="0.3">
      <c r="A18" s="112"/>
      <c r="B18" s="14">
        <v>15</v>
      </c>
      <c r="C18" s="6" t="s">
        <v>19</v>
      </c>
      <c r="D18" s="7">
        <v>278</v>
      </c>
      <c r="E18" s="7">
        <v>514</v>
      </c>
      <c r="F18" s="7">
        <v>1018.9</v>
      </c>
      <c r="G18" s="7">
        <v>984.7</v>
      </c>
      <c r="H18" s="7">
        <v>755.336952</v>
      </c>
      <c r="I18" s="7">
        <v>754.51669900000002</v>
      </c>
      <c r="J18" s="7">
        <v>749.11997699999995</v>
      </c>
      <c r="K18" s="7">
        <v>648.08103200000005</v>
      </c>
      <c r="L18" s="7">
        <v>592.4</v>
      </c>
      <c r="M18" s="7">
        <v>566.6</v>
      </c>
      <c r="N18" s="7">
        <v>425.2</v>
      </c>
      <c r="O18" s="7">
        <v>382.5</v>
      </c>
      <c r="P18" s="7">
        <v>333.6</v>
      </c>
      <c r="Q18" s="7">
        <v>280</v>
      </c>
      <c r="R18" s="7">
        <v>262.3</v>
      </c>
      <c r="S18" s="7">
        <v>264.60000000000002</v>
      </c>
      <c r="T18" s="1"/>
    </row>
    <row r="19" spans="1:20" x14ac:dyDescent="0.3">
      <c r="A19" s="112"/>
      <c r="B19" s="14">
        <v>18</v>
      </c>
      <c r="C19" s="1" t="s">
        <v>21</v>
      </c>
      <c r="D19" s="3">
        <v>147.029551</v>
      </c>
      <c r="E19" s="3">
        <v>307.24216899999999</v>
      </c>
      <c r="F19" s="3">
        <v>765.23270200000002</v>
      </c>
      <c r="G19" s="3">
        <v>761.71412299999997</v>
      </c>
      <c r="H19" s="3">
        <v>539.77945699999998</v>
      </c>
      <c r="I19" s="3">
        <v>482.22539699999999</v>
      </c>
      <c r="J19" s="3">
        <v>533.876801</v>
      </c>
      <c r="K19" s="3">
        <v>373.77393799999999</v>
      </c>
      <c r="L19" s="3">
        <v>351.50158800000003</v>
      </c>
      <c r="M19" s="3">
        <v>276.34741400000001</v>
      </c>
      <c r="N19" s="3">
        <v>150.435586</v>
      </c>
      <c r="O19" s="3">
        <v>150.39992100000001</v>
      </c>
      <c r="P19" s="3">
        <v>127.5</v>
      </c>
      <c r="Q19" s="3">
        <v>136</v>
      </c>
      <c r="R19" s="3">
        <v>112.7</v>
      </c>
      <c r="S19" s="3">
        <v>122.8</v>
      </c>
      <c r="T19" s="1"/>
    </row>
    <row r="20" spans="1:20" x14ac:dyDescent="0.3">
      <c r="A20" s="112"/>
      <c r="B20" s="14">
        <v>17</v>
      </c>
      <c r="C20" s="6" t="s">
        <v>22</v>
      </c>
      <c r="D20" s="7">
        <v>188</v>
      </c>
      <c r="E20" s="7">
        <v>368</v>
      </c>
      <c r="F20" s="7">
        <v>650.811916</v>
      </c>
      <c r="G20" s="7">
        <v>798.45421899999997</v>
      </c>
      <c r="H20" s="7">
        <v>554.96358499999997</v>
      </c>
      <c r="I20" s="7">
        <v>493.36901699999999</v>
      </c>
      <c r="J20" s="3">
        <v>456.902151</v>
      </c>
      <c r="K20" s="3">
        <v>392.92265500000002</v>
      </c>
      <c r="L20" s="7">
        <v>359.77802200000002</v>
      </c>
      <c r="M20" s="7">
        <v>367.624683</v>
      </c>
      <c r="N20" s="7">
        <v>205.79216700000001</v>
      </c>
      <c r="O20" s="7">
        <v>175.67252999999999</v>
      </c>
      <c r="P20" s="7">
        <v>139.80000000000001</v>
      </c>
      <c r="Q20" s="7">
        <v>144.1</v>
      </c>
      <c r="R20" s="7">
        <v>139.4</v>
      </c>
      <c r="S20" s="7">
        <v>149.19999999999999</v>
      </c>
      <c r="T20" s="1"/>
    </row>
    <row r="21" spans="1:20" x14ac:dyDescent="0.3">
      <c r="A21" s="112"/>
      <c r="B21" s="14">
        <v>19</v>
      </c>
      <c r="C21" s="1" t="s">
        <v>88</v>
      </c>
      <c r="D21" s="3">
        <v>37.077334999999998</v>
      </c>
      <c r="E21" s="3">
        <v>96.990900999999994</v>
      </c>
      <c r="F21" s="3">
        <v>155.51265100000001</v>
      </c>
      <c r="G21" s="3">
        <v>51.171469000000002</v>
      </c>
      <c r="H21" s="3">
        <v>48.382945999999997</v>
      </c>
      <c r="I21" s="3">
        <v>31.152896999999999</v>
      </c>
      <c r="J21" s="3">
        <v>24.392061999999999</v>
      </c>
      <c r="K21" s="3">
        <v>26.515806999999999</v>
      </c>
      <c r="L21" s="3">
        <v>15.135531</v>
      </c>
      <c r="M21" s="3">
        <v>8.6574419999999996</v>
      </c>
      <c r="N21" s="3">
        <v>8.2228689999999993</v>
      </c>
      <c r="O21" s="3">
        <v>9.6276139999999995</v>
      </c>
      <c r="P21" s="3">
        <v>14</v>
      </c>
      <c r="Q21" s="3">
        <v>9.9</v>
      </c>
      <c r="R21" s="3">
        <v>9</v>
      </c>
      <c r="S21" s="3">
        <v>7.7</v>
      </c>
      <c r="T21" s="1"/>
    </row>
    <row r="22" spans="1:20" x14ac:dyDescent="0.3">
      <c r="A22" s="112"/>
      <c r="B22" s="14">
        <v>20</v>
      </c>
      <c r="C22" s="6" t="s">
        <v>87</v>
      </c>
      <c r="D22" s="7">
        <v>98.409839000000005</v>
      </c>
      <c r="E22" s="7">
        <v>147.232528</v>
      </c>
      <c r="F22" s="7">
        <v>180.20092500000001</v>
      </c>
      <c r="G22" s="7">
        <v>203.04708400000001</v>
      </c>
      <c r="H22" s="7">
        <v>212.36678900000001</v>
      </c>
      <c r="I22" s="7">
        <v>191.10758799999999</v>
      </c>
      <c r="J22" s="7">
        <v>150.35712799999999</v>
      </c>
      <c r="K22" s="7">
        <v>121.615674</v>
      </c>
      <c r="L22" s="7">
        <v>170.9</v>
      </c>
      <c r="M22" s="7">
        <v>168.7</v>
      </c>
      <c r="N22" s="7">
        <v>141.69999999999999</v>
      </c>
      <c r="O22" s="7">
        <v>94</v>
      </c>
      <c r="P22" s="7">
        <v>78.400000000000006</v>
      </c>
      <c r="Q22" s="7">
        <v>76.3</v>
      </c>
      <c r="R22" s="7">
        <v>62.2</v>
      </c>
      <c r="S22" s="7">
        <v>80.3</v>
      </c>
      <c r="T22" s="1"/>
    </row>
    <row r="23" spans="1:20" x14ac:dyDescent="0.3">
      <c r="A23" s="112"/>
      <c r="B23" s="14">
        <v>16</v>
      </c>
      <c r="C23" s="1" t="s">
        <v>20</v>
      </c>
      <c r="D23" s="3">
        <v>71</v>
      </c>
      <c r="E23" s="3">
        <v>285</v>
      </c>
      <c r="F23" s="3">
        <v>333.69014099999998</v>
      </c>
      <c r="G23" s="3">
        <v>438.028029</v>
      </c>
      <c r="H23" s="3">
        <v>340.36069900000001</v>
      </c>
      <c r="I23" s="3">
        <v>283.31663500000002</v>
      </c>
      <c r="J23" s="3">
        <v>227.255223</v>
      </c>
      <c r="K23" s="3">
        <v>139.69201200000001</v>
      </c>
      <c r="L23" s="3">
        <v>40.290286999999999</v>
      </c>
      <c r="M23" s="3">
        <v>40.049790999999999</v>
      </c>
      <c r="N23" s="3">
        <v>-7.7</v>
      </c>
      <c r="O23" s="3">
        <v>-6.4</v>
      </c>
      <c r="P23" s="3">
        <v>-13.9</v>
      </c>
      <c r="Q23" s="3">
        <v>7.6</v>
      </c>
      <c r="R23" s="3">
        <v>7.4</v>
      </c>
      <c r="S23" s="3">
        <v>12.8</v>
      </c>
      <c r="T23" s="1"/>
    </row>
    <row r="25" spans="1:20" x14ac:dyDescent="0.3">
      <c r="A25" s="9" t="s">
        <v>71</v>
      </c>
      <c r="B25" s="8"/>
      <c r="C25" s="9" t="s">
        <v>26</v>
      </c>
      <c r="D25" s="8">
        <v>6</v>
      </c>
      <c r="E25" s="8">
        <v>7</v>
      </c>
      <c r="F25" s="8">
        <v>8</v>
      </c>
      <c r="G25" s="8">
        <v>9</v>
      </c>
      <c r="H25" s="8">
        <v>10</v>
      </c>
      <c r="I25" s="8">
        <v>11</v>
      </c>
      <c r="J25" s="8">
        <v>12</v>
      </c>
      <c r="K25" s="8">
        <v>13</v>
      </c>
      <c r="L25" s="8">
        <v>14</v>
      </c>
      <c r="M25" s="8">
        <v>15</v>
      </c>
      <c r="N25" s="8">
        <v>16</v>
      </c>
      <c r="O25" s="8">
        <v>17</v>
      </c>
      <c r="P25" s="8">
        <v>18</v>
      </c>
      <c r="Q25" s="8">
        <v>19</v>
      </c>
      <c r="R25" s="8">
        <v>20</v>
      </c>
      <c r="S25" s="8" t="s">
        <v>3</v>
      </c>
      <c r="T25" s="8" t="s">
        <v>94</v>
      </c>
    </row>
    <row r="26" spans="1:20" x14ac:dyDescent="0.3">
      <c r="A26" s="6" t="s">
        <v>65</v>
      </c>
      <c r="B26" s="17" t="s">
        <v>27</v>
      </c>
      <c r="C26" s="6" t="s">
        <v>145</v>
      </c>
      <c r="D26" s="7">
        <f t="shared" ref="D26:T26" si="0">D4*D5</f>
        <v>899.84399999999994</v>
      </c>
      <c r="E26" s="7">
        <f t="shared" si="0"/>
        <v>716.6479923500001</v>
      </c>
      <c r="F26" s="7">
        <f t="shared" si="0"/>
        <v>376</v>
      </c>
      <c r="G26" s="7">
        <f t="shared" si="0"/>
        <v>334</v>
      </c>
      <c r="H26" s="7">
        <f t="shared" si="0"/>
        <v>149</v>
      </c>
      <c r="I26" s="7">
        <f t="shared" si="0"/>
        <v>108</v>
      </c>
      <c r="J26" s="7">
        <f t="shared" si="0"/>
        <v>56.000000000000007</v>
      </c>
      <c r="K26" s="7">
        <f t="shared" si="0"/>
        <v>69</v>
      </c>
      <c r="L26" s="7">
        <f t="shared" si="0"/>
        <v>18.7</v>
      </c>
      <c r="M26" s="7">
        <f t="shared" si="0"/>
        <v>22.7</v>
      </c>
      <c r="N26" s="7">
        <f t="shared" si="0"/>
        <v>17.899999999999999</v>
      </c>
      <c r="O26" s="7">
        <f t="shared" si="0"/>
        <v>32.6</v>
      </c>
      <c r="P26" s="7">
        <f t="shared" si="0"/>
        <v>43</v>
      </c>
      <c r="Q26" s="7">
        <f t="shared" si="0"/>
        <v>37.9</v>
      </c>
      <c r="R26" s="7">
        <f t="shared" si="0"/>
        <v>39</v>
      </c>
      <c r="S26" s="7">
        <f t="shared" si="0"/>
        <v>85.6</v>
      </c>
      <c r="T26" s="7">
        <f t="shared" si="0"/>
        <v>139.5</v>
      </c>
    </row>
    <row r="27" spans="1:20" x14ac:dyDescent="0.3">
      <c r="A27" s="1" t="s">
        <v>66</v>
      </c>
      <c r="B27" s="2" t="s">
        <v>28</v>
      </c>
      <c r="C27" s="1" t="s">
        <v>47</v>
      </c>
      <c r="D27" s="30">
        <f t="shared" ref="D27:Q27" si="1">D26/D6</f>
        <v>3.228719052744887</v>
      </c>
      <c r="E27" s="30">
        <f t="shared" si="1"/>
        <v>1.3821562051108971</v>
      </c>
      <c r="F27" s="30">
        <f t="shared" si="1"/>
        <v>0.59203275074791373</v>
      </c>
      <c r="G27" s="30">
        <f t="shared" si="1"/>
        <v>0.55106418082824615</v>
      </c>
      <c r="H27" s="30">
        <f t="shared" si="1"/>
        <v>0.25184262175403382</v>
      </c>
      <c r="I27" s="30">
        <f t="shared" si="1"/>
        <v>0.19632357564564601</v>
      </c>
      <c r="J27" s="30">
        <f t="shared" si="1"/>
        <v>0.10812898242904037</v>
      </c>
      <c r="K27" s="30">
        <f t="shared" si="1"/>
        <v>0.11637712936414235</v>
      </c>
      <c r="L27" s="30">
        <f t="shared" si="1"/>
        <v>8.2816651904340122E-2</v>
      </c>
      <c r="M27" s="30">
        <f t="shared" si="1"/>
        <v>8.9865399841646876E-2</v>
      </c>
      <c r="N27" s="30">
        <f t="shared" si="1"/>
        <v>8.2450483648088435E-2</v>
      </c>
      <c r="O27" s="30">
        <f t="shared" si="1"/>
        <v>0.17564655172413796</v>
      </c>
      <c r="P27" s="30">
        <f t="shared" si="1"/>
        <v>0.19779208831646733</v>
      </c>
      <c r="Q27" s="30">
        <f t="shared" si="1"/>
        <v>0.14200074934432372</v>
      </c>
      <c r="R27" s="30">
        <f t="shared" ref="R27:T27" si="2">R26/R6</f>
        <v>0.15643802647412755</v>
      </c>
      <c r="S27" s="30">
        <f t="shared" si="2"/>
        <v>0.31703703703703701</v>
      </c>
      <c r="T27" s="30">
        <f t="shared" si="2"/>
        <v>0.46500000000000002</v>
      </c>
    </row>
    <row r="28" spans="1:20" x14ac:dyDescent="0.3">
      <c r="A28" s="6" t="s">
        <v>67</v>
      </c>
      <c r="B28" s="17" t="s">
        <v>29</v>
      </c>
      <c r="C28" s="6" t="s">
        <v>48</v>
      </c>
      <c r="D28" s="29">
        <f t="shared" ref="D28:Q28" si="3">D26/D7</f>
        <v>36.138313253012051</v>
      </c>
      <c r="E28" s="29">
        <f t="shared" si="3"/>
        <v>19.368864658108112</v>
      </c>
      <c r="F28" s="29">
        <f t="shared" si="3"/>
        <v>6.0940032414910856</v>
      </c>
      <c r="G28" s="29">
        <f t="shared" si="3"/>
        <v>5</v>
      </c>
      <c r="H28" s="29">
        <f t="shared" si="3"/>
        <v>2.6325088339222615</v>
      </c>
      <c r="I28" s="29">
        <f t="shared" si="3"/>
        <v>12.134831460674157</v>
      </c>
      <c r="J28" s="29">
        <f t="shared" si="3"/>
        <v>14.358974358974361</v>
      </c>
      <c r="K28" s="29">
        <f t="shared" si="3"/>
        <v>2.3549488054607508</v>
      </c>
      <c r="L28" s="29">
        <f t="shared" si="3"/>
        <v>-0.57186544342507639</v>
      </c>
      <c r="M28" s="29">
        <f t="shared" si="3"/>
        <v>1.9739130434782608</v>
      </c>
      <c r="N28" s="29">
        <f t="shared" si="3"/>
        <v>-2.5942028985507242</v>
      </c>
      <c r="O28" s="29">
        <f t="shared" si="3"/>
        <v>-8.5789473684210531</v>
      </c>
      <c r="P28" s="29">
        <f t="shared" si="3"/>
        <v>2.606060606060606</v>
      </c>
      <c r="Q28" s="29">
        <f t="shared" si="3"/>
        <v>1.4141791044776117</v>
      </c>
      <c r="R28" s="29">
        <f t="shared" ref="R28" si="4">R26/R7</f>
        <v>2.0526315789473686</v>
      </c>
      <c r="S28" s="29"/>
      <c r="T28" s="1"/>
    </row>
    <row r="29" spans="1:20" x14ac:dyDescent="0.3">
      <c r="A29" s="15" t="s">
        <v>68</v>
      </c>
      <c r="B29" s="2" t="s">
        <v>30</v>
      </c>
      <c r="C29" s="1" t="s">
        <v>49</v>
      </c>
      <c r="D29" s="3">
        <f t="shared" ref="D29:Q29" si="5">D15-D14</f>
        <v>137.40442999999999</v>
      </c>
      <c r="E29" s="3">
        <f t="shared" si="5"/>
        <v>211.687701</v>
      </c>
      <c r="F29" s="3">
        <f t="shared" si="5"/>
        <v>605.20000000000005</v>
      </c>
      <c r="G29" s="3">
        <f t="shared" si="5"/>
        <v>443.59999999999997</v>
      </c>
      <c r="H29" s="3">
        <f t="shared" si="5"/>
        <v>320.87362899999999</v>
      </c>
      <c r="I29" s="3">
        <f t="shared" si="5"/>
        <v>329.87413700000002</v>
      </c>
      <c r="J29" s="3">
        <f t="shared" si="5"/>
        <v>376.66266100000001</v>
      </c>
      <c r="K29" s="3">
        <f t="shared" si="5"/>
        <v>336.02547099999998</v>
      </c>
      <c r="L29" s="3">
        <f t="shared" si="5"/>
        <v>281.09587000000005</v>
      </c>
      <c r="M29" s="3">
        <f t="shared" si="5"/>
        <v>259.87151</v>
      </c>
      <c r="N29" s="3">
        <f t="shared" si="5"/>
        <v>235.14999999999998</v>
      </c>
      <c r="O29" s="3">
        <f t="shared" si="5"/>
        <v>189.30962</v>
      </c>
      <c r="P29" s="3">
        <f t="shared" si="5"/>
        <v>183.9</v>
      </c>
      <c r="Q29" s="3">
        <f t="shared" si="5"/>
        <v>128.29999999999998</v>
      </c>
      <c r="R29" s="3">
        <f t="shared" ref="R29" si="6">R15-R14</f>
        <v>96</v>
      </c>
      <c r="S29" s="3"/>
      <c r="T29" s="1"/>
    </row>
    <row r="30" spans="1:20" x14ac:dyDescent="0.3">
      <c r="A30" s="6" t="s">
        <v>69</v>
      </c>
      <c r="B30" s="17" t="s">
        <v>31</v>
      </c>
      <c r="C30" s="6" t="s">
        <v>50</v>
      </c>
      <c r="D30" s="7">
        <f t="shared" ref="D30:Q30" si="7">D26+D29+D16+D17</f>
        <v>1042.9079259999999</v>
      </c>
      <c r="E30" s="7">
        <f t="shared" si="7"/>
        <v>932.0261923500002</v>
      </c>
      <c r="F30" s="7">
        <f t="shared" si="7"/>
        <v>1041.6000000000001</v>
      </c>
      <c r="G30" s="7">
        <f t="shared" si="7"/>
        <v>796.59999999999991</v>
      </c>
      <c r="H30" s="7">
        <f t="shared" si="7"/>
        <v>501.750451</v>
      </c>
      <c r="I30" s="7">
        <f t="shared" si="7"/>
        <v>469.65776</v>
      </c>
      <c r="J30" s="7">
        <f t="shared" si="7"/>
        <v>483.63857300000001</v>
      </c>
      <c r="K30" s="7">
        <f t="shared" si="7"/>
        <v>434.70190199999996</v>
      </c>
      <c r="L30" s="7">
        <f t="shared" si="7"/>
        <v>274.89587000000006</v>
      </c>
      <c r="M30" s="7">
        <f t="shared" si="7"/>
        <v>254.17150999999998</v>
      </c>
      <c r="N30" s="7">
        <f t="shared" si="7"/>
        <v>222.85</v>
      </c>
      <c r="O30" s="7">
        <f t="shared" si="7"/>
        <v>191.20962</v>
      </c>
      <c r="P30" s="7">
        <f t="shared" si="7"/>
        <v>191</v>
      </c>
      <c r="Q30" s="7">
        <f t="shared" si="7"/>
        <v>127.19999999999999</v>
      </c>
      <c r="R30" s="7">
        <f t="shared" ref="R30" si="8">R26+R29+R16+R17</f>
        <v>133.5</v>
      </c>
      <c r="S30" s="7"/>
      <c r="T30" s="1"/>
    </row>
    <row r="31" spans="1:20" x14ac:dyDescent="0.3">
      <c r="A31" s="1" t="s">
        <v>70</v>
      </c>
      <c r="B31" s="2" t="s">
        <v>32</v>
      </c>
      <c r="C31" s="1" t="s">
        <v>51</v>
      </c>
      <c r="D31" s="30">
        <f t="shared" ref="D31:Q31" si="9">D30/D7</f>
        <v>41.883852449799193</v>
      </c>
      <c r="E31" s="30">
        <f t="shared" si="9"/>
        <v>25.189897090540548</v>
      </c>
      <c r="F31" s="30">
        <f t="shared" si="9"/>
        <v>16.881685575364671</v>
      </c>
      <c r="G31" s="30">
        <f t="shared" si="9"/>
        <v>11.925149700598801</v>
      </c>
      <c r="H31" s="30">
        <f t="shared" si="9"/>
        <v>8.8648489575971734</v>
      </c>
      <c r="I31" s="30">
        <f t="shared" si="9"/>
        <v>52.770534831460672</v>
      </c>
      <c r="J31" s="30">
        <f t="shared" si="9"/>
        <v>124.00989051282052</v>
      </c>
      <c r="K31" s="30">
        <f t="shared" si="9"/>
        <v>14.836242389078496</v>
      </c>
      <c r="L31" s="30">
        <f t="shared" si="9"/>
        <v>-8.4066015290519882</v>
      </c>
      <c r="M31" s="30">
        <f t="shared" si="9"/>
        <v>22.101870434782608</v>
      </c>
      <c r="N31" s="30">
        <f t="shared" si="9"/>
        <v>-32.29710144927536</v>
      </c>
      <c r="O31" s="30">
        <f t="shared" si="9"/>
        <v>-50.318321052631582</v>
      </c>
      <c r="P31" s="30">
        <f t="shared" si="9"/>
        <v>11.575757575757576</v>
      </c>
      <c r="Q31" s="30">
        <f t="shared" si="9"/>
        <v>4.746268656716417</v>
      </c>
      <c r="R31" s="30">
        <f t="shared" ref="R31" si="10">R30/R7</f>
        <v>7.0263157894736841</v>
      </c>
      <c r="S31" s="30"/>
      <c r="T31" s="1"/>
    </row>
    <row r="32" spans="1:20" x14ac:dyDescent="0.3">
      <c r="A32" s="18" t="s">
        <v>72</v>
      </c>
      <c r="B32" s="17" t="s">
        <v>33</v>
      </c>
      <c r="C32" s="6" t="s">
        <v>109</v>
      </c>
      <c r="D32" s="27">
        <f t="shared" ref="D32:Q32" si="11">D7/D6</f>
        <v>8.9343379978471471E-2</v>
      </c>
      <c r="E32" s="27">
        <f t="shared" si="11"/>
        <v>7.1359691417550622E-2</v>
      </c>
      <c r="F32" s="27">
        <f t="shared" si="11"/>
        <v>9.7150055109431588E-2</v>
      </c>
      <c r="G32" s="27">
        <f t="shared" si="11"/>
        <v>0.11021283616564923</v>
      </c>
      <c r="H32" s="27">
        <f t="shared" si="11"/>
        <v>9.5666391887773927E-2</v>
      </c>
      <c r="I32" s="27">
        <f t="shared" si="11"/>
        <v>1.6178516881909716E-2</v>
      </c>
      <c r="J32" s="27">
        <f t="shared" si="11"/>
        <v>7.5304112763081681E-3</v>
      </c>
      <c r="K32" s="27">
        <f t="shared" si="11"/>
        <v>4.941811435317929E-2</v>
      </c>
      <c r="L32" s="27">
        <f t="shared" si="11"/>
        <v>-0.14481842338352524</v>
      </c>
      <c r="M32" s="27">
        <f t="shared" si="11"/>
        <v>4.5526524148851943E-2</v>
      </c>
      <c r="N32" s="27">
        <f t="shared" si="11"/>
        <v>-3.1782588668816218E-2</v>
      </c>
      <c r="O32" s="27">
        <f t="shared" si="11"/>
        <v>-2.0474137931034482E-2</v>
      </c>
      <c r="P32" s="27">
        <f t="shared" si="11"/>
        <v>7.5896964121435137E-2</v>
      </c>
      <c r="Q32" s="27">
        <f t="shared" si="11"/>
        <v>0.10041213937804422</v>
      </c>
      <c r="R32" s="27">
        <f t="shared" ref="R32" si="12">R7/R6</f>
        <v>7.6213397513036504E-2</v>
      </c>
      <c r="S32" s="27"/>
      <c r="T32" s="1"/>
    </row>
    <row r="33" spans="1:20" x14ac:dyDescent="0.3">
      <c r="A33" s="16" t="s">
        <v>73</v>
      </c>
      <c r="B33" s="2" t="s">
        <v>34</v>
      </c>
      <c r="C33" s="1" t="s">
        <v>110</v>
      </c>
      <c r="D33" s="28">
        <f t="shared" ref="D33:Q33" si="13">D8/D6</f>
        <v>6.0638679583781843E-2</v>
      </c>
      <c r="E33" s="28">
        <f t="shared" si="13"/>
        <v>4.20443587270974E-2</v>
      </c>
      <c r="F33" s="28">
        <f t="shared" si="13"/>
        <v>6.2352385451110062E-2</v>
      </c>
      <c r="G33" s="28">
        <f t="shared" si="13"/>
        <v>6.3190892591981518E-2</v>
      </c>
      <c r="H33" s="28">
        <f t="shared" si="13"/>
        <v>-3.6677750953439829E-2</v>
      </c>
      <c r="I33" s="28">
        <f t="shared" si="13"/>
        <v>-3.7810466420642931E-2</v>
      </c>
      <c r="J33" s="28">
        <f t="shared" si="13"/>
        <v>-3.0700907511102531E-2</v>
      </c>
      <c r="K33" s="28">
        <f t="shared" si="13"/>
        <v>-3.592511384719177E-2</v>
      </c>
      <c r="L33" s="28">
        <f t="shared" si="13"/>
        <v>-0.20947741364038971</v>
      </c>
      <c r="M33" s="28">
        <f t="shared" si="13"/>
        <v>-1.9794140934283454E-3</v>
      </c>
      <c r="N33" s="28">
        <f t="shared" si="13"/>
        <v>-8.1068631966835572E-2</v>
      </c>
      <c r="O33" s="28">
        <f t="shared" si="13"/>
        <v>-7.7586206896551727E-2</v>
      </c>
      <c r="P33" s="28">
        <f t="shared" si="13"/>
        <v>3.5418583256669731E-2</v>
      </c>
      <c r="Q33" s="28">
        <f t="shared" si="13"/>
        <v>6.8565005620082442E-2</v>
      </c>
      <c r="R33" s="28">
        <f t="shared" ref="R33" si="14">R8/R6</f>
        <v>5.2146008824709184E-2</v>
      </c>
      <c r="S33" s="28"/>
      <c r="T33" s="1"/>
    </row>
    <row r="34" spans="1:20" x14ac:dyDescent="0.3">
      <c r="A34" s="18" t="s">
        <v>74</v>
      </c>
      <c r="B34" s="17" t="s">
        <v>35</v>
      </c>
      <c r="C34" s="6" t="s">
        <v>54</v>
      </c>
      <c r="D34" s="27">
        <f t="shared" ref="D34:Q34" si="15">D11/D10</f>
        <v>0.29931972789115652</v>
      </c>
      <c r="E34" s="27">
        <f t="shared" si="15"/>
        <v>0.27586206896551724</v>
      </c>
      <c r="F34" s="27">
        <f t="shared" si="15"/>
        <v>0.1728395061728395</v>
      </c>
      <c r="G34" s="27">
        <f t="shared" si="15"/>
        <v>0.68103448275862077</v>
      </c>
      <c r="H34" s="27">
        <f t="shared" si="15"/>
        <v>-0.24821002386634847</v>
      </c>
      <c r="I34" s="27">
        <f t="shared" si="15"/>
        <v>-8.4925690021231421E-3</v>
      </c>
      <c r="J34" s="27">
        <f t="shared" si="15"/>
        <v>-4.4061302681992334E-2</v>
      </c>
      <c r="K34" s="27">
        <f t="shared" si="15"/>
        <v>-4.2553191489361703E-3</v>
      </c>
      <c r="L34" s="27">
        <f t="shared" si="15"/>
        <v>-7.3463268365817097E-2</v>
      </c>
      <c r="M34" s="27">
        <f t="shared" si="15"/>
        <v>0.2</v>
      </c>
      <c r="N34" s="27">
        <f t="shared" si="15"/>
        <v>-2.4539877300613498E-2</v>
      </c>
      <c r="O34" s="27">
        <f t="shared" si="15"/>
        <v>-0.23333333333333331</v>
      </c>
      <c r="P34" s="27">
        <f t="shared" si="15"/>
        <v>0.51515151515151514</v>
      </c>
      <c r="Q34" s="27">
        <f t="shared" si="15"/>
        <v>4.4642857142857144E-2</v>
      </c>
      <c r="R34" s="27">
        <f t="shared" ref="R34" si="16">R11/R10</f>
        <v>0.1728395061728395</v>
      </c>
      <c r="S34" s="27"/>
      <c r="T34" s="1"/>
    </row>
    <row r="35" spans="1:20" x14ac:dyDescent="0.3">
      <c r="A35" s="16" t="s">
        <v>75</v>
      </c>
      <c r="B35" s="2" t="s">
        <v>36</v>
      </c>
      <c r="C35" s="1" t="s">
        <v>108</v>
      </c>
      <c r="D35" s="28">
        <f t="shared" ref="D35:Q35" si="17">D12/D6</f>
        <v>3.6957301758162905E-2</v>
      </c>
      <c r="E35" s="28">
        <f t="shared" si="17"/>
        <v>2.4300867888138861E-2</v>
      </c>
      <c r="F35" s="28">
        <f t="shared" si="17"/>
        <v>6.928042827901118E-3</v>
      </c>
      <c r="G35" s="28">
        <f t="shared" si="17"/>
        <v>-9.4043887147335428E-3</v>
      </c>
      <c r="H35" s="28">
        <f t="shared" si="17"/>
        <v>-9.2623997799470156E-2</v>
      </c>
      <c r="I35" s="28">
        <f t="shared" si="17"/>
        <v>-9.0163419926148528E-2</v>
      </c>
      <c r="J35" s="28">
        <f t="shared" si="17"/>
        <v>-0.10793589496041707</v>
      </c>
      <c r="K35" s="28">
        <f t="shared" si="17"/>
        <v>-0.11637712936414235</v>
      </c>
      <c r="L35" s="28">
        <f t="shared" si="17"/>
        <v>-0.41408325952170061</v>
      </c>
      <c r="M35" s="28">
        <f t="shared" si="17"/>
        <v>-1.9794140934283454E-3</v>
      </c>
      <c r="N35" s="28">
        <f t="shared" si="17"/>
        <v>-0.20082911100875173</v>
      </c>
      <c r="O35" s="28">
        <f t="shared" si="17"/>
        <v>3.5021551724137935E-2</v>
      </c>
      <c r="P35" s="28">
        <f t="shared" si="17"/>
        <v>5.9797608095676176E-3</v>
      </c>
      <c r="Q35" s="28">
        <f t="shared" si="17"/>
        <v>8.8047958036717874E-2</v>
      </c>
      <c r="R35" s="28">
        <f t="shared" ref="R35" si="18">R12/R6</f>
        <v>2.5270758122743681E-2</v>
      </c>
      <c r="S35" s="28"/>
      <c r="T35" s="1"/>
    </row>
    <row r="36" spans="1:20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87.363495145631049</v>
      </c>
      <c r="E36" s="29">
        <f t="shared" ref="E36:Q36" si="19">IF(E26/E12&lt;0,0,E26/E12)</f>
        <v>56.876824789682551</v>
      </c>
      <c r="F36" s="29">
        <f t="shared" si="19"/>
        <v>85.454545454545453</v>
      </c>
      <c r="G36" s="29">
        <f t="shared" si="19"/>
        <v>0</v>
      </c>
      <c r="H36" s="29">
        <f t="shared" si="19"/>
        <v>0</v>
      </c>
      <c r="I36" s="29">
        <f t="shared" si="19"/>
        <v>0</v>
      </c>
      <c r="J36" s="29">
        <f t="shared" si="19"/>
        <v>0</v>
      </c>
      <c r="K36" s="29">
        <f t="shared" si="19"/>
        <v>0</v>
      </c>
      <c r="L36" s="29">
        <f t="shared" si="19"/>
        <v>0</v>
      </c>
      <c r="M36" s="29">
        <f t="shared" si="19"/>
        <v>0</v>
      </c>
      <c r="N36" s="29">
        <f t="shared" si="19"/>
        <v>0</v>
      </c>
      <c r="O36" s="29">
        <f t="shared" si="19"/>
        <v>5.0153846153846153</v>
      </c>
      <c r="P36" s="29">
        <f t="shared" si="19"/>
        <v>33.076923076923073</v>
      </c>
      <c r="Q36" s="29">
        <f t="shared" si="19"/>
        <v>1.6127659574468085</v>
      </c>
      <c r="R36" s="29">
        <f t="shared" ref="R36" si="20">IF(R26/R12&lt;0,0,R26/R12)</f>
        <v>6.1904761904761907</v>
      </c>
      <c r="S36" s="29"/>
      <c r="T36" s="1"/>
    </row>
    <row r="37" spans="1:20" x14ac:dyDescent="0.3">
      <c r="A37" s="16" t="s">
        <v>77</v>
      </c>
      <c r="B37" s="2" t="s">
        <v>38</v>
      </c>
      <c r="C37" s="1" t="s">
        <v>57</v>
      </c>
      <c r="D37" s="30">
        <f t="shared" ref="D37:Q37" si="21">D26/D23</f>
        <v>12.673859154929577</v>
      </c>
      <c r="E37" s="30">
        <f t="shared" si="21"/>
        <v>2.5145543591228074</v>
      </c>
      <c r="F37" s="30">
        <f t="shared" si="21"/>
        <v>1.1267938539424813</v>
      </c>
      <c r="G37" s="30">
        <f t="shared" si="21"/>
        <v>0.76250828231816192</v>
      </c>
      <c r="H37" s="30">
        <f t="shared" si="21"/>
        <v>0.43777087201245873</v>
      </c>
      <c r="I37" s="30">
        <f t="shared" si="21"/>
        <v>0.38119893665968463</v>
      </c>
      <c r="J37" s="30">
        <f t="shared" si="21"/>
        <v>0.24641897889405168</v>
      </c>
      <c r="K37" s="30">
        <f t="shared" si="21"/>
        <v>0.49394377682812668</v>
      </c>
      <c r="L37" s="30">
        <f t="shared" si="21"/>
        <v>0.46413171492176264</v>
      </c>
      <c r="M37" s="30">
        <f t="shared" si="21"/>
        <v>0.56679446841557801</v>
      </c>
      <c r="N37" s="30">
        <f t="shared" si="21"/>
        <v>-2.3246753246753245</v>
      </c>
      <c r="O37" s="30">
        <f t="shared" si="21"/>
        <v>-5.09375</v>
      </c>
      <c r="P37" s="30">
        <f t="shared" si="21"/>
        <v>-3.093525179856115</v>
      </c>
      <c r="Q37" s="30">
        <f t="shared" si="21"/>
        <v>4.9868421052631575</v>
      </c>
      <c r="R37" s="30">
        <f t="shared" ref="R37" si="22">R26/R23</f>
        <v>5.2702702702702702</v>
      </c>
      <c r="S37" s="30"/>
      <c r="T37" s="1"/>
    </row>
    <row r="38" spans="1:20" x14ac:dyDescent="0.3">
      <c r="A38" s="18" t="s">
        <v>78</v>
      </c>
      <c r="B38" s="17" t="s">
        <v>39</v>
      </c>
      <c r="C38" s="6" t="s">
        <v>106</v>
      </c>
      <c r="D38" s="55">
        <f t="shared" ref="D38:Q38" si="23">D8/D23</f>
        <v>0.2380281690140845</v>
      </c>
      <c r="E38" s="55">
        <f t="shared" si="23"/>
        <v>7.6491228070175443E-2</v>
      </c>
      <c r="F38" s="55">
        <f t="shared" si="23"/>
        <v>0.11867296972372943</v>
      </c>
      <c r="G38" s="55">
        <f t="shared" si="23"/>
        <v>8.7437326984388011E-2</v>
      </c>
      <c r="H38" s="55">
        <f t="shared" si="23"/>
        <v>-6.375589209845875E-2</v>
      </c>
      <c r="I38" s="55">
        <f t="shared" si="23"/>
        <v>-7.3416091504828154E-2</v>
      </c>
      <c r="J38" s="55">
        <f t="shared" si="23"/>
        <v>-6.9965388650275379E-2</v>
      </c>
      <c r="K38" s="55">
        <f t="shared" si="23"/>
        <v>-0.15247829632520435</v>
      </c>
      <c r="L38" s="55">
        <f t="shared" si="23"/>
        <v>-1.173980220096223</v>
      </c>
      <c r="M38" s="55">
        <f t="shared" si="23"/>
        <v>-1.2484459656730793E-2</v>
      </c>
      <c r="N38" s="55">
        <f t="shared" si="23"/>
        <v>2.285714285714286</v>
      </c>
      <c r="O38" s="55">
        <f t="shared" si="23"/>
        <v>2.25</v>
      </c>
      <c r="P38" s="55">
        <f t="shared" si="23"/>
        <v>-0.5539568345323741</v>
      </c>
      <c r="Q38" s="55">
        <f t="shared" si="23"/>
        <v>2.4078947368421053</v>
      </c>
      <c r="R38" s="55">
        <f t="shared" ref="R38" si="24">R8/R23</f>
        <v>1.7567567567567566</v>
      </c>
      <c r="S38" s="55"/>
      <c r="T38" s="1"/>
    </row>
    <row r="39" spans="1:20" x14ac:dyDescent="0.3">
      <c r="A39" s="16" t="s">
        <v>79</v>
      </c>
      <c r="B39" s="2" t="s">
        <v>40</v>
      </c>
      <c r="C39" s="1" t="s">
        <v>107</v>
      </c>
      <c r="D39" s="56">
        <f t="shared" ref="D39:Q39" si="25">D12/D23</f>
        <v>0.14507042253521127</v>
      </c>
      <c r="E39" s="56">
        <f t="shared" si="25"/>
        <v>4.4210526315789471E-2</v>
      </c>
      <c r="F39" s="56">
        <f t="shared" si="25"/>
        <v>1.3185885524858826E-2</v>
      </c>
      <c r="G39" s="56">
        <f t="shared" si="25"/>
        <v>-1.3012865895848871E-2</v>
      </c>
      <c r="H39" s="56">
        <f t="shared" si="25"/>
        <v>-0.16100566299518615</v>
      </c>
      <c r="I39" s="56">
        <f t="shared" si="25"/>
        <v>-0.17506914128074405</v>
      </c>
      <c r="J39" s="56">
        <f t="shared" si="25"/>
        <v>-0.24597894500316941</v>
      </c>
      <c r="K39" s="56">
        <f t="shared" si="25"/>
        <v>-0.49394377682812668</v>
      </c>
      <c r="L39" s="56">
        <f t="shared" si="25"/>
        <v>-2.3206585746088133</v>
      </c>
      <c r="M39" s="56">
        <f t="shared" si="25"/>
        <v>-1.2484459656730793E-2</v>
      </c>
      <c r="N39" s="56">
        <f t="shared" si="25"/>
        <v>5.662337662337662</v>
      </c>
      <c r="O39" s="56">
        <f t="shared" si="25"/>
        <v>-1.015625</v>
      </c>
      <c r="P39" s="56">
        <f t="shared" si="25"/>
        <v>-9.3525179856115109E-2</v>
      </c>
      <c r="Q39" s="56">
        <f t="shared" si="25"/>
        <v>3.0921052631578947</v>
      </c>
      <c r="R39" s="56">
        <f t="shared" ref="R39" si="26">R12/R23</f>
        <v>0.85135135135135132</v>
      </c>
      <c r="S39" s="56"/>
      <c r="T39" s="1"/>
    </row>
    <row r="40" spans="1:20" x14ac:dyDescent="0.3">
      <c r="A40" s="18" t="s">
        <v>80</v>
      </c>
      <c r="B40" s="17" t="s">
        <v>41</v>
      </c>
      <c r="C40" s="6" t="s">
        <v>61</v>
      </c>
      <c r="D40" s="7">
        <f t="shared" ref="D40:Q40" si="27">D20-D19</f>
        <v>40.970449000000002</v>
      </c>
      <c r="E40" s="7">
        <f t="shared" si="27"/>
        <v>60.75783100000001</v>
      </c>
      <c r="F40" s="7">
        <f t="shared" si="27"/>
        <v>-114.42078600000002</v>
      </c>
      <c r="G40" s="7">
        <f t="shared" si="27"/>
        <v>36.740095999999994</v>
      </c>
      <c r="H40" s="7">
        <f t="shared" si="27"/>
        <v>15.184127999999987</v>
      </c>
      <c r="I40" s="7">
        <f t="shared" si="27"/>
        <v>11.143619999999999</v>
      </c>
      <c r="J40" s="7">
        <f t="shared" si="27"/>
        <v>-76.974649999999997</v>
      </c>
      <c r="K40" s="7">
        <f t="shared" si="27"/>
        <v>19.148717000000033</v>
      </c>
      <c r="L40" s="7">
        <f t="shared" si="27"/>
        <v>8.2764339999999947</v>
      </c>
      <c r="M40" s="7">
        <f t="shared" si="27"/>
        <v>91.27726899999999</v>
      </c>
      <c r="N40" s="7">
        <f t="shared" si="27"/>
        <v>55.356581000000006</v>
      </c>
      <c r="O40" s="7">
        <f t="shared" si="27"/>
        <v>25.272608999999989</v>
      </c>
      <c r="P40" s="7">
        <f t="shared" si="27"/>
        <v>12.300000000000011</v>
      </c>
      <c r="Q40" s="7">
        <f t="shared" si="27"/>
        <v>8.0999999999999943</v>
      </c>
      <c r="R40" s="7">
        <f t="shared" ref="R40" si="28">R20-R19</f>
        <v>26.700000000000003</v>
      </c>
      <c r="S40" s="7"/>
      <c r="T40" s="1"/>
    </row>
    <row r="41" spans="1:20" x14ac:dyDescent="0.3">
      <c r="A41" s="53" t="s">
        <v>96</v>
      </c>
      <c r="B41" s="49" t="s">
        <v>42</v>
      </c>
      <c r="C41" s="52" t="s">
        <v>98</v>
      </c>
      <c r="D41" s="29">
        <f t="shared" ref="D41:Q41" si="29">D20/D19</f>
        <v>1.278654520273955</v>
      </c>
      <c r="E41" s="29">
        <f t="shared" si="29"/>
        <v>1.1977522525561912</v>
      </c>
      <c r="F41" s="29">
        <f t="shared" si="29"/>
        <v>0.8504758282010797</v>
      </c>
      <c r="G41" s="29">
        <f t="shared" si="29"/>
        <v>1.0482334446620205</v>
      </c>
      <c r="H41" s="29">
        <f t="shared" si="29"/>
        <v>1.028130244311984</v>
      </c>
      <c r="I41" s="29">
        <f t="shared" si="29"/>
        <v>1.0231087372613019</v>
      </c>
      <c r="J41" s="29">
        <f t="shared" si="29"/>
        <v>0.85581945149926075</v>
      </c>
      <c r="K41" s="29">
        <f t="shared" si="29"/>
        <v>1.0512307441831326</v>
      </c>
      <c r="L41" s="29">
        <f t="shared" si="29"/>
        <v>1.023545936298871</v>
      </c>
      <c r="M41" s="29">
        <f t="shared" si="29"/>
        <v>1.3302989801091463</v>
      </c>
      <c r="N41" s="29">
        <f t="shared" si="29"/>
        <v>1.3679753073850491</v>
      </c>
      <c r="O41" s="29">
        <f t="shared" si="29"/>
        <v>1.1680360523593625</v>
      </c>
      <c r="P41" s="29">
        <f t="shared" si="29"/>
        <v>1.0964705882352943</v>
      </c>
      <c r="Q41" s="29">
        <f t="shared" si="29"/>
        <v>1.0595588235294118</v>
      </c>
      <c r="R41" s="29">
        <f t="shared" ref="R41" si="30">R20/R19</f>
        <v>1.2369121561668146</v>
      </c>
      <c r="S41" s="29"/>
      <c r="T41" s="1"/>
    </row>
    <row r="42" spans="1:20" x14ac:dyDescent="0.3">
      <c r="A42" s="16" t="s">
        <v>81</v>
      </c>
      <c r="B42" s="17" t="s">
        <v>43</v>
      </c>
      <c r="C42" s="1" t="s">
        <v>60</v>
      </c>
      <c r="D42" s="30">
        <f t="shared" ref="D42:Q42" si="31">(D20-D21)/D19</f>
        <v>1.0264784458193714</v>
      </c>
      <c r="E42" s="30">
        <f t="shared" si="31"/>
        <v>0.88206999671324415</v>
      </c>
      <c r="F42" s="30">
        <f t="shared" si="31"/>
        <v>0.64725313451123256</v>
      </c>
      <c r="G42" s="30">
        <f t="shared" si="31"/>
        <v>0.98105408241196546</v>
      </c>
      <c r="H42" s="30">
        <f t="shared" si="31"/>
        <v>0.93849558820835222</v>
      </c>
      <c r="I42" s="30">
        <f t="shared" si="31"/>
        <v>0.95850638078276085</v>
      </c>
      <c r="J42" s="30">
        <f t="shared" si="31"/>
        <v>0.81013089197707988</v>
      </c>
      <c r="K42" s="30">
        <f t="shared" si="31"/>
        <v>0.9802899847982447</v>
      </c>
      <c r="L42" s="30">
        <f t="shared" si="31"/>
        <v>0.98048629868494364</v>
      </c>
      <c r="M42" s="30">
        <f t="shared" si="31"/>
        <v>1.2989708707750021</v>
      </c>
      <c r="N42" s="30">
        <f t="shared" si="31"/>
        <v>1.3133149094124579</v>
      </c>
      <c r="O42" s="20">
        <f t="shared" si="31"/>
        <v>1.1040226277778431</v>
      </c>
      <c r="P42" s="30">
        <f t="shared" si="31"/>
        <v>0.9866666666666668</v>
      </c>
      <c r="Q42" s="30">
        <f t="shared" si="31"/>
        <v>0.98676470588235288</v>
      </c>
      <c r="R42" s="30">
        <f t="shared" ref="R42" si="32">(R20-R21)/R19</f>
        <v>1.1570541259982254</v>
      </c>
      <c r="S42" s="30"/>
      <c r="T42" s="1"/>
    </row>
    <row r="43" spans="1:20" x14ac:dyDescent="0.3">
      <c r="A43" s="18" t="s">
        <v>82</v>
      </c>
      <c r="B43" s="49" t="s">
        <v>44</v>
      </c>
      <c r="C43" s="6" t="s">
        <v>62</v>
      </c>
      <c r="D43" s="29">
        <f t="shared" ref="D43:Q43" si="33">D14/D19</f>
        <v>6.5262866782474227E-2</v>
      </c>
      <c r="E43" s="29">
        <f t="shared" si="33"/>
        <v>0.10516882856662818</v>
      </c>
      <c r="F43" s="29">
        <f t="shared" si="33"/>
        <v>0.11016256856205291</v>
      </c>
      <c r="G43" s="29">
        <f t="shared" si="33"/>
        <v>3.2558146489821617E-2</v>
      </c>
      <c r="H43" s="29">
        <f t="shared" si="33"/>
        <v>0.13841305005425578</v>
      </c>
      <c r="I43" s="29">
        <f t="shared" si="33"/>
        <v>0.16151468480205325</v>
      </c>
      <c r="J43" s="29">
        <f t="shared" si="33"/>
        <v>7.1223490005140722E-2</v>
      </c>
      <c r="K43" s="29">
        <f t="shared" si="33"/>
        <v>0.10392300011029661</v>
      </c>
      <c r="L43" s="29">
        <f t="shared" si="33"/>
        <v>6.9416471597846655E-2</v>
      </c>
      <c r="M43" s="29">
        <f t="shared" si="33"/>
        <v>0.14836397202544474</v>
      </c>
      <c r="N43" s="29">
        <f t="shared" si="33"/>
        <v>0.35762814790378122</v>
      </c>
      <c r="O43" s="29">
        <f t="shared" si="33"/>
        <v>0.3078459063818258</v>
      </c>
      <c r="P43" s="29">
        <f t="shared" si="33"/>
        <v>0.27529411764705886</v>
      </c>
      <c r="Q43" s="29">
        <f t="shared" si="33"/>
        <v>0.2676470588235294</v>
      </c>
      <c r="R43" s="29">
        <f t="shared" ref="R43" si="34">R14/R19</f>
        <v>0.40017746228926354</v>
      </c>
      <c r="S43" s="29"/>
      <c r="T43" s="1"/>
    </row>
    <row r="44" spans="1:20" x14ac:dyDescent="0.3">
      <c r="A44" s="16" t="s">
        <v>83</v>
      </c>
      <c r="B44" s="17" t="s">
        <v>45</v>
      </c>
      <c r="C44" s="1" t="s">
        <v>63</v>
      </c>
      <c r="D44" s="30">
        <f t="shared" ref="D44:Q44" si="35">D29/D7</f>
        <v>5.5182502008032124</v>
      </c>
      <c r="E44" s="30">
        <f t="shared" si="35"/>
        <v>5.7212892162162161</v>
      </c>
      <c r="F44" s="30">
        <f t="shared" si="35"/>
        <v>9.8087520259319287</v>
      </c>
      <c r="G44" s="30">
        <f t="shared" si="35"/>
        <v>6.6407185628742509</v>
      </c>
      <c r="H44" s="30">
        <f t="shared" si="35"/>
        <v>5.6691453886925789</v>
      </c>
      <c r="I44" s="30">
        <f t="shared" si="35"/>
        <v>37.064509775280897</v>
      </c>
      <c r="J44" s="30">
        <f t="shared" si="35"/>
        <v>96.580169487179489</v>
      </c>
      <c r="K44" s="30">
        <f t="shared" si="35"/>
        <v>11.468446109215016</v>
      </c>
      <c r="L44" s="30">
        <f t="shared" si="35"/>
        <v>-8.5962039755351682</v>
      </c>
      <c r="M44" s="30">
        <f t="shared" si="35"/>
        <v>22.597522608695652</v>
      </c>
      <c r="N44" s="30">
        <f t="shared" si="35"/>
        <v>-34.079710144927532</v>
      </c>
      <c r="O44" s="30">
        <f t="shared" si="35"/>
        <v>-49.818321052631582</v>
      </c>
      <c r="P44" s="30">
        <f t="shared" si="35"/>
        <v>11.145454545454546</v>
      </c>
      <c r="Q44" s="30">
        <f t="shared" si="35"/>
        <v>4.7873134328358198</v>
      </c>
      <c r="R44" s="30">
        <f t="shared" ref="R44" si="36">R29/R7</f>
        <v>5.0526315789473681</v>
      </c>
      <c r="S44" s="30"/>
      <c r="T44" s="1"/>
    </row>
    <row r="45" spans="1:20" x14ac:dyDescent="0.3">
      <c r="A45" s="18" t="s">
        <v>84</v>
      </c>
      <c r="B45" s="54" t="s">
        <v>99</v>
      </c>
      <c r="C45" s="6" t="s">
        <v>64</v>
      </c>
      <c r="D45" s="29">
        <f t="shared" ref="D45:Q45" si="37">D18/D23</f>
        <v>3.915492957746479</v>
      </c>
      <c r="E45" s="29">
        <f t="shared" si="37"/>
        <v>1.8035087719298246</v>
      </c>
      <c r="F45" s="29">
        <f t="shared" si="37"/>
        <v>3.0534315366542399</v>
      </c>
      <c r="G45" s="29">
        <f t="shared" si="37"/>
        <v>2.24802965748112</v>
      </c>
      <c r="H45" s="29">
        <f t="shared" si="37"/>
        <v>2.219224940538743</v>
      </c>
      <c r="I45" s="29">
        <f t="shared" si="37"/>
        <v>2.6631570680627346</v>
      </c>
      <c r="J45" s="29">
        <f t="shared" si="37"/>
        <v>3.2963817821692043</v>
      </c>
      <c r="K45" s="29">
        <f t="shared" si="37"/>
        <v>4.6393564150253637</v>
      </c>
      <c r="L45" s="29">
        <f t="shared" si="37"/>
        <v>14.703295610676587</v>
      </c>
      <c r="M45" s="29">
        <f t="shared" si="37"/>
        <v>14.147389683007335</v>
      </c>
      <c r="N45" s="29">
        <f t="shared" si="37"/>
        <v>-55.220779220779221</v>
      </c>
      <c r="O45" s="29">
        <f t="shared" si="37"/>
        <v>-59.765625</v>
      </c>
      <c r="P45" s="29">
        <f t="shared" si="37"/>
        <v>-24</v>
      </c>
      <c r="Q45" s="29">
        <f t="shared" si="37"/>
        <v>36.842105263157897</v>
      </c>
      <c r="R45" s="29">
        <f t="shared" ref="R45" si="38">R18/R23</f>
        <v>35.445945945945944</v>
      </c>
      <c r="S45" s="29"/>
      <c r="T45" s="1"/>
    </row>
    <row r="46" spans="1:20" x14ac:dyDescent="0.3">
      <c r="A46" s="18" t="s">
        <v>97</v>
      </c>
      <c r="B46" s="17" t="s">
        <v>100</v>
      </c>
      <c r="C46" s="6" t="s">
        <v>111</v>
      </c>
      <c r="D46" s="28">
        <f t="shared" ref="D46:S46" si="39">D13/D4</f>
        <v>0</v>
      </c>
      <c r="E46" s="28">
        <f t="shared" si="39"/>
        <v>0</v>
      </c>
      <c r="F46" s="28">
        <f t="shared" si="39"/>
        <v>0</v>
      </c>
      <c r="G46" s="28">
        <f t="shared" si="39"/>
        <v>0</v>
      </c>
      <c r="H46" s="28">
        <f t="shared" si="39"/>
        <v>0</v>
      </c>
      <c r="I46" s="28">
        <f t="shared" si="39"/>
        <v>0</v>
      </c>
      <c r="J46" s="28">
        <f t="shared" si="39"/>
        <v>0</v>
      </c>
      <c r="K46" s="28">
        <f t="shared" si="39"/>
        <v>0</v>
      </c>
      <c r="L46" s="28">
        <f t="shared" si="39"/>
        <v>0</v>
      </c>
      <c r="M46" s="28">
        <f t="shared" si="39"/>
        <v>0</v>
      </c>
      <c r="N46" s="28">
        <f t="shared" si="39"/>
        <v>0</v>
      </c>
      <c r="O46" s="28">
        <f t="shared" si="39"/>
        <v>0</v>
      </c>
      <c r="P46" s="28">
        <f t="shared" si="39"/>
        <v>0</v>
      </c>
      <c r="Q46" s="28">
        <f t="shared" si="39"/>
        <v>0</v>
      </c>
      <c r="R46" s="28">
        <f t="shared" si="39"/>
        <v>0</v>
      </c>
      <c r="S46" s="28">
        <f t="shared" si="39"/>
        <v>0</v>
      </c>
      <c r="T46" s="1"/>
    </row>
  </sheetData>
  <mergeCells count="3">
    <mergeCell ref="A6:A13"/>
    <mergeCell ref="A14:A23"/>
    <mergeCell ref="Q2:S2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02D6B-9ED2-4731-86AA-5F11B366B3E1}">
  <sheetPr codeName="Planilha25"/>
  <dimension ref="A3:AG46"/>
  <sheetViews>
    <sheetView workbookViewId="0">
      <pane xSplit="3" ySplit="3" topLeftCell="M10" activePane="bottomRight" state="frozen"/>
      <selection activeCell="C22" sqref="C22"/>
      <selection pane="topRight" activeCell="C22" sqref="C22"/>
      <selection pane="bottomLeft" activeCell="C22" sqref="C22"/>
      <selection pane="bottomRight" activeCell="A27" sqref="A27:XFD27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1" width="8.33203125" customWidth="1"/>
  </cols>
  <sheetData>
    <row r="3" spans="1:33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8" t="s">
        <v>94</v>
      </c>
      <c r="AG3" s="8" t="s">
        <v>116</v>
      </c>
    </row>
    <row r="4" spans="1:33" x14ac:dyDescent="0.3">
      <c r="A4" s="4" t="s">
        <v>5</v>
      </c>
      <c r="B4" s="11">
        <v>1</v>
      </c>
      <c r="C4" s="6" t="s">
        <v>4</v>
      </c>
      <c r="D4" s="19">
        <v>1.48</v>
      </c>
      <c r="E4" s="19">
        <v>1.27</v>
      </c>
      <c r="F4" s="19">
        <v>1.76</v>
      </c>
      <c r="G4" s="19">
        <v>1.77</v>
      </c>
      <c r="H4" s="19">
        <v>1.1599999999999999</v>
      </c>
      <c r="I4" s="19">
        <v>1.8839999999999999</v>
      </c>
      <c r="J4" s="19">
        <v>1.8979999999999999</v>
      </c>
      <c r="K4" s="19">
        <v>1.4</v>
      </c>
      <c r="L4" s="19">
        <v>1.49</v>
      </c>
      <c r="M4" s="19">
        <v>1.52</v>
      </c>
      <c r="N4" s="19">
        <v>1.98</v>
      </c>
      <c r="O4" s="19">
        <v>3.25</v>
      </c>
      <c r="P4" s="19">
        <v>5.14</v>
      </c>
      <c r="Q4" s="19">
        <v>5.12</v>
      </c>
      <c r="R4" s="19">
        <v>2.35</v>
      </c>
      <c r="S4" s="19">
        <v>3.9380000000000002</v>
      </c>
      <c r="T4" s="19">
        <v>1.7430000000000001</v>
      </c>
      <c r="U4" s="19">
        <v>1.0349999999999999</v>
      </c>
      <c r="V4" s="19">
        <v>1.5669999999999999</v>
      </c>
      <c r="W4" s="19">
        <v>4.3230000000000004</v>
      </c>
      <c r="X4" s="19">
        <v>2.661</v>
      </c>
      <c r="Y4" s="19">
        <v>1.925</v>
      </c>
      <c r="Z4" s="19">
        <v>1.61</v>
      </c>
      <c r="AA4" s="19">
        <v>3.6629999999999998</v>
      </c>
      <c r="AB4" s="19">
        <v>1.61</v>
      </c>
      <c r="AC4" s="19">
        <v>1.87</v>
      </c>
      <c r="AD4" s="19">
        <v>1.3640000000000001</v>
      </c>
      <c r="AE4" s="19">
        <v>1.276</v>
      </c>
      <c r="AF4" s="19">
        <v>1.272</v>
      </c>
      <c r="AG4" s="19">
        <v>1.272</v>
      </c>
    </row>
    <row r="5" spans="1:33" x14ac:dyDescent="0.3">
      <c r="A5" s="5" t="s">
        <v>8</v>
      </c>
      <c r="B5" s="12">
        <v>3</v>
      </c>
      <c r="C5" s="1" t="s">
        <v>86</v>
      </c>
      <c r="D5" s="3"/>
      <c r="E5" s="3"/>
      <c r="F5" s="3">
        <v>73</v>
      </c>
      <c r="G5" s="3">
        <v>73</v>
      </c>
      <c r="H5" s="3">
        <v>73</v>
      </c>
      <c r="I5" s="3">
        <v>80</v>
      </c>
      <c r="J5" s="3">
        <v>80</v>
      </c>
      <c r="K5" s="3">
        <v>205</v>
      </c>
      <c r="L5" s="3">
        <v>205</v>
      </c>
      <c r="M5" s="3">
        <v>196</v>
      </c>
      <c r="N5" s="3">
        <v>196</v>
      </c>
      <c r="O5" s="3">
        <v>197</v>
      </c>
      <c r="P5" s="3">
        <v>197</v>
      </c>
      <c r="Q5" s="3">
        <v>196</v>
      </c>
      <c r="R5" s="3">
        <v>195</v>
      </c>
      <c r="S5" s="3">
        <v>195</v>
      </c>
      <c r="T5" s="3">
        <v>194</v>
      </c>
      <c r="U5" s="3">
        <v>194</v>
      </c>
      <c r="V5" s="3">
        <v>194</v>
      </c>
      <c r="W5" s="3">
        <v>194</v>
      </c>
      <c r="X5" s="3">
        <v>205</v>
      </c>
      <c r="Y5" s="3">
        <v>236</v>
      </c>
      <c r="Z5" s="3">
        <v>234</v>
      </c>
      <c r="AA5" s="3">
        <v>234</v>
      </c>
      <c r="AB5" s="3">
        <v>237.49</v>
      </c>
      <c r="AC5" s="3">
        <v>237.49</v>
      </c>
      <c r="AD5" s="3">
        <v>231.41</v>
      </c>
      <c r="AE5" s="3">
        <v>307</v>
      </c>
      <c r="AF5" s="1">
        <v>307</v>
      </c>
      <c r="AG5" s="1">
        <v>307</v>
      </c>
    </row>
    <row r="6" spans="1:33" x14ac:dyDescent="0.3">
      <c r="A6" s="110" t="s">
        <v>7</v>
      </c>
      <c r="B6" s="13">
        <v>4</v>
      </c>
      <c r="C6" s="6" t="s">
        <v>104</v>
      </c>
      <c r="D6" s="7"/>
      <c r="E6" s="7"/>
      <c r="F6" s="7"/>
      <c r="G6" s="7"/>
      <c r="H6" s="7">
        <f>(84142273*5)/1000000</f>
        <v>420.711365</v>
      </c>
      <c r="I6" s="7">
        <f>(87157718*5)/1000000</f>
        <v>435.78859</v>
      </c>
      <c r="J6" s="7">
        <f>495895.387/1000</f>
        <v>495.89538699999997</v>
      </c>
      <c r="K6" s="7">
        <f>868840.738/1000</f>
        <v>868.84073799999999</v>
      </c>
      <c r="L6" s="7">
        <f>876107159/1000000</f>
        <v>876.10715900000002</v>
      </c>
      <c r="M6" s="7">
        <f>1005327043/1000000</f>
        <v>1005.327043</v>
      </c>
      <c r="N6" s="7">
        <f>(1169251778+47783606)/1000000</f>
        <v>1217.035384</v>
      </c>
      <c r="O6" s="7">
        <f>(1381000637+54335665)/1000000</f>
        <v>1435.3363019999999</v>
      </c>
      <c r="P6" s="7">
        <f>(1308233076+89200866)/1000000</f>
        <v>1397.4339419999999</v>
      </c>
      <c r="Q6" s="7">
        <f>(1401899756+132805132)/1000000</f>
        <v>1534.704888</v>
      </c>
      <c r="R6" s="7">
        <f>(1868731191+115756552)/1000000</f>
        <v>1984.4877429999999</v>
      </c>
      <c r="S6" s="7">
        <f>(2131244582+163342427)/1000000</f>
        <v>2294.5870089999999</v>
      </c>
      <c r="T6" s="7">
        <f>(2004550902+121758147)/1000000</f>
        <v>2126.309049</v>
      </c>
      <c r="U6" s="7">
        <f>(2176072110+94107256)/1000000</f>
        <v>2270.1793659999998</v>
      </c>
      <c r="V6" s="7">
        <f>(2243167461+82992378)/1000000</f>
        <v>2326.1598389999999</v>
      </c>
      <c r="W6" s="7">
        <f>(2313702+61401)/1000</f>
        <v>2375.1030000000001</v>
      </c>
      <c r="X6" s="7">
        <f>(2368155+16548)/1000</f>
        <v>2384.703</v>
      </c>
      <c r="Y6" s="7">
        <f>2433.64</f>
        <v>2433.64</v>
      </c>
      <c r="Z6" s="7">
        <v>2210.0810000000001</v>
      </c>
      <c r="AA6" s="7">
        <v>2597.2939999999999</v>
      </c>
      <c r="AB6" s="7">
        <v>2818</v>
      </c>
      <c r="AC6" s="7">
        <v>2827</v>
      </c>
      <c r="AD6" s="7">
        <v>2429</v>
      </c>
      <c r="AE6" s="67">
        <v>2506</v>
      </c>
      <c r="AF6" s="3">
        <v>2782</v>
      </c>
      <c r="AG6" s="3">
        <v>3012</v>
      </c>
    </row>
    <row r="7" spans="1:33" x14ac:dyDescent="0.3">
      <c r="A7" s="110"/>
      <c r="B7" s="13">
        <v>5</v>
      </c>
      <c r="C7" s="1" t="s">
        <v>9</v>
      </c>
      <c r="D7" s="3"/>
      <c r="E7" s="3"/>
      <c r="F7" s="3"/>
      <c r="G7" s="3"/>
      <c r="H7" s="3">
        <f>(H8+(3464082*5)/1000000)</f>
        <v>21.089036</v>
      </c>
      <c r="I7" s="3">
        <f>(I8+(5159159*5)/1000000)</f>
        <v>29.810594999999999</v>
      </c>
      <c r="J7" s="3">
        <f>J8+(23038.427/1000)</f>
        <v>43.176414999999999</v>
      </c>
      <c r="K7" s="3">
        <f>K8+(52201.161/1000)</f>
        <v>106.16341399999999</v>
      </c>
      <c r="L7" s="3">
        <f>L8+(47815.065/1000)</f>
        <v>95.873630000000006</v>
      </c>
      <c r="M7" s="3">
        <f>M8+(59681.071/1000)</f>
        <v>116.93994600000001</v>
      </c>
      <c r="N7" s="3">
        <f>N8+(54449.559/1000)</f>
        <v>126.18755099999998</v>
      </c>
      <c r="O7" s="3">
        <f>O8+(55169.867/1000)</f>
        <v>147.86112500000002</v>
      </c>
      <c r="P7" s="3">
        <f>P8+(52044.636/1000)</f>
        <v>136.238315</v>
      </c>
      <c r="Q7" s="3">
        <f>Q8+(90972.295/1000)</f>
        <v>239.158682</v>
      </c>
      <c r="R7" s="3">
        <f>R8+(103570.894/1000)</f>
        <v>296.31123600000001</v>
      </c>
      <c r="S7" s="3">
        <f>S8+(125785.864/1000)</f>
        <v>298.14407900000003</v>
      </c>
      <c r="T7" s="3">
        <f>T8+(86379.789/1000)</f>
        <v>218.12580000000003</v>
      </c>
      <c r="U7" s="3">
        <f>U8+(91195.469/1000)</f>
        <v>260.57934899999998</v>
      </c>
      <c r="V7" s="3">
        <f>V8+(91348.743/1000)</f>
        <v>262.52913799999999</v>
      </c>
      <c r="W7" s="3">
        <f>W8+102.727</f>
        <v>345.60300000000001</v>
      </c>
      <c r="X7" s="3">
        <f>X8+129.361</f>
        <v>402.00799999999998</v>
      </c>
      <c r="Y7" s="3">
        <f>Y8+(153.754)</f>
        <v>243.012</v>
      </c>
      <c r="Z7" s="3">
        <v>337.95</v>
      </c>
      <c r="AA7" s="3">
        <v>404.74</v>
      </c>
      <c r="AB7" s="66">
        <v>409</v>
      </c>
      <c r="AC7" s="3">
        <v>420</v>
      </c>
      <c r="AD7" s="3">
        <v>380</v>
      </c>
      <c r="AE7" s="66">
        <v>370.14</v>
      </c>
      <c r="AF7" s="3">
        <v>414.43</v>
      </c>
      <c r="AG7" s="3">
        <v>447.66</v>
      </c>
    </row>
    <row r="8" spans="1:33" x14ac:dyDescent="0.3">
      <c r="A8" s="110"/>
      <c r="B8" s="13">
        <v>6</v>
      </c>
      <c r="C8" s="6" t="s">
        <v>10</v>
      </c>
      <c r="D8" s="7"/>
      <c r="E8" s="7"/>
      <c r="F8" s="7"/>
      <c r="G8" s="7"/>
      <c r="H8" s="7">
        <f>3768.626/1000</f>
        <v>3.7686260000000003</v>
      </c>
      <c r="I8" s="7">
        <f>4014.8/1000</f>
        <v>4.0148000000000001</v>
      </c>
      <c r="J8" s="7">
        <f>20137.988/1000</f>
        <v>20.137988</v>
      </c>
      <c r="K8" s="7">
        <f>53962.253/1000</f>
        <v>53.962252999999997</v>
      </c>
      <c r="L8" s="7">
        <f>48058565/1000000</f>
        <v>48.058565000000002</v>
      </c>
      <c r="M8" s="7">
        <f>57258875/1000000</f>
        <v>57.258875000000003</v>
      </c>
      <c r="N8" s="7">
        <f>71737.992/1000</f>
        <v>71.737991999999991</v>
      </c>
      <c r="O8" s="7">
        <f>92691.258/1000</f>
        <v>92.691258000000005</v>
      </c>
      <c r="P8" s="7">
        <f>84193.679/1000</f>
        <v>84.193679000000003</v>
      </c>
      <c r="Q8" s="7">
        <f>148186.387/1000</f>
        <v>148.186387</v>
      </c>
      <c r="R8" s="7">
        <f>192740342/1000000</f>
        <v>192.740342</v>
      </c>
      <c r="S8" s="7">
        <f>172358215/1000000</f>
        <v>172.358215</v>
      </c>
      <c r="T8" s="7">
        <f>131746011/1000000</f>
        <v>131.74601100000001</v>
      </c>
      <c r="U8" s="7">
        <f>169383880/1000000</f>
        <v>169.38388</v>
      </c>
      <c r="V8" s="7">
        <f>171180395/1000000</f>
        <v>171.180395</v>
      </c>
      <c r="W8" s="7">
        <v>242.876</v>
      </c>
      <c r="X8" s="7">
        <v>272.64699999999999</v>
      </c>
      <c r="Y8" s="7">
        <v>89.257999999999996</v>
      </c>
      <c r="Z8" s="7">
        <v>80.863</v>
      </c>
      <c r="AA8" s="7">
        <v>186.131</v>
      </c>
      <c r="AB8" s="67">
        <v>202</v>
      </c>
      <c r="AC8" s="7">
        <v>176</v>
      </c>
      <c r="AD8" s="7">
        <v>144</v>
      </c>
      <c r="AE8" s="67">
        <v>148.6</v>
      </c>
      <c r="AF8" s="3">
        <v>180.14</v>
      </c>
      <c r="AG8" s="3">
        <v>205.68</v>
      </c>
    </row>
    <row r="9" spans="1:33" x14ac:dyDescent="0.3">
      <c r="A9" s="110"/>
      <c r="B9" s="13">
        <v>11</v>
      </c>
      <c r="C9" s="1" t="s">
        <v>11</v>
      </c>
      <c r="D9" s="3"/>
      <c r="E9" s="3"/>
      <c r="F9" s="3"/>
      <c r="G9" s="3"/>
      <c r="H9" s="3">
        <f>-(892088*5)/1000000</f>
        <v>-4.4604400000000002</v>
      </c>
      <c r="I9" s="3">
        <f>-(980695*5)/1000000</f>
        <v>-4.9034750000000003</v>
      </c>
      <c r="J9" s="3">
        <f>-10558829/1000000</f>
        <v>-10.558828999999999</v>
      </c>
      <c r="K9" s="3">
        <f>-23736037/1000000</f>
        <v>-23.736037</v>
      </c>
      <c r="L9" s="3">
        <f>-23565153/1000000</f>
        <v>-23.565152999999999</v>
      </c>
      <c r="M9" s="3">
        <f>-31532900/1000000</f>
        <v>-31.532900000000001</v>
      </c>
      <c r="N9" s="3">
        <f>-26803.46/1000</f>
        <v>-26.803459999999998</v>
      </c>
      <c r="O9" s="3">
        <f>-29787.743/1000</f>
        <v>-29.787742999999999</v>
      </c>
      <c r="P9" s="25">
        <f>-84193.679/1000</f>
        <v>-84.193679000000003</v>
      </c>
      <c r="Q9" s="32">
        <f>-107453.07/1000</f>
        <v>-107.45307000000001</v>
      </c>
      <c r="R9" s="3">
        <v>-130</v>
      </c>
      <c r="S9" s="3">
        <v>-115</v>
      </c>
      <c r="T9" s="3">
        <f>-50.928</f>
        <v>-50.927999999999997</v>
      </c>
      <c r="U9" s="3">
        <f>-79714.093/1000</f>
        <v>-79.714092999999991</v>
      </c>
      <c r="V9" s="3">
        <f>-82482.622/1000</f>
        <v>-82.482622000000006</v>
      </c>
      <c r="W9" s="3">
        <v>-106.24299999999999</v>
      </c>
      <c r="X9" s="3">
        <v>-272.64699999999999</v>
      </c>
      <c r="Y9" s="3">
        <v>-47.670999999999999</v>
      </c>
      <c r="Z9" s="3">
        <v>-102.617</v>
      </c>
      <c r="AA9" s="3">
        <v>-99.206000000000003</v>
      </c>
      <c r="AB9" s="66">
        <v>-100</v>
      </c>
      <c r="AC9" s="66">
        <v>-100</v>
      </c>
      <c r="AD9" s="66">
        <v>-391.92</v>
      </c>
      <c r="AE9" s="66">
        <v>-121</v>
      </c>
      <c r="AF9" s="3">
        <v>-129</v>
      </c>
      <c r="AG9" s="3">
        <v>-133</v>
      </c>
    </row>
    <row r="10" spans="1:33" x14ac:dyDescent="0.3">
      <c r="A10" s="110"/>
      <c r="B10" s="13">
        <v>12</v>
      </c>
      <c r="C10" s="6" t="s">
        <v>12</v>
      </c>
      <c r="D10" s="7"/>
      <c r="E10" s="7"/>
      <c r="F10" s="7"/>
      <c r="G10" s="7"/>
      <c r="H10" s="3">
        <f>(2190301*5)/1000000</f>
        <v>10.951504999999999</v>
      </c>
      <c r="I10" s="3">
        <f>(3313961*5)/1000000</f>
        <v>16.569804999999999</v>
      </c>
      <c r="J10" s="7">
        <f>13365744/1000000</f>
        <v>13.365743999999999</v>
      </c>
      <c r="K10" s="7">
        <f>30226216/1000000</f>
        <v>30.226216000000001</v>
      </c>
      <c r="L10" s="7">
        <f>28041871/1000000</f>
        <v>28.041871</v>
      </c>
      <c r="M10" s="7">
        <f>30376988/1000000</f>
        <v>30.376988000000001</v>
      </c>
      <c r="N10" s="7">
        <f>(41889/1000)</f>
        <v>41.889000000000003</v>
      </c>
      <c r="O10" s="7">
        <f>61821/1000</f>
        <v>61.820999999999998</v>
      </c>
      <c r="P10" s="7">
        <v>14.683332999999999</v>
      </c>
      <c r="Q10" s="7">
        <v>36.504845000000003</v>
      </c>
      <c r="R10" s="7">
        <v>103.08814099999999</v>
      </c>
      <c r="S10" s="7">
        <f>107.472</f>
        <v>107.47199999999999</v>
      </c>
      <c r="T10" s="7">
        <v>88.325000000000003</v>
      </c>
      <c r="U10" s="7">
        <f>89.583</f>
        <v>89.582999999999998</v>
      </c>
      <c r="V10" s="7">
        <v>111.044</v>
      </c>
      <c r="W10" s="7">
        <v>135.18199999999999</v>
      </c>
      <c r="X10" s="7">
        <v>122.732</v>
      </c>
      <c r="Y10" s="7">
        <v>97.793000000000006</v>
      </c>
      <c r="Z10" s="7">
        <v>76.885999999999996</v>
      </c>
      <c r="AA10" s="7">
        <v>89.823999999999998</v>
      </c>
      <c r="AB10" s="67">
        <v>135</v>
      </c>
      <c r="AC10" s="7">
        <v>111.65</v>
      </c>
      <c r="AD10" s="7">
        <v>25.53</v>
      </c>
      <c r="AE10" s="67">
        <v>36.5</v>
      </c>
      <c r="AF10" s="3">
        <v>71.5</v>
      </c>
      <c r="AG10" s="3">
        <v>72.459999999999994</v>
      </c>
    </row>
    <row r="11" spans="1:33" x14ac:dyDescent="0.3">
      <c r="A11" s="110"/>
      <c r="B11" s="13">
        <v>13</v>
      </c>
      <c r="C11" s="1" t="s">
        <v>13</v>
      </c>
      <c r="D11" s="3"/>
      <c r="E11" s="3"/>
      <c r="F11" s="3"/>
      <c r="G11" s="3"/>
      <c r="H11" s="3">
        <f>(84592079*5)/1000000</f>
        <v>422.96039500000001</v>
      </c>
      <c r="I11" s="3">
        <f>(88980655*5)/1000000</f>
        <v>444.90327500000001</v>
      </c>
      <c r="J11" s="3">
        <f>1913159/1000000</f>
        <v>1.9131590000000001</v>
      </c>
      <c r="K11" s="3">
        <f>4003485/1000000</f>
        <v>4.0034850000000004</v>
      </c>
      <c r="L11" s="3">
        <f>2702609/1000000</f>
        <v>2.7026089999999998</v>
      </c>
      <c r="M11" s="3">
        <f>4697279/1000000</f>
        <v>4.697279</v>
      </c>
      <c r="N11" s="3">
        <f>13924.446/1000</f>
        <v>13.924446</v>
      </c>
      <c r="O11" s="3">
        <f>24285.277/1000</f>
        <v>24.285276999999997</v>
      </c>
      <c r="P11" s="3">
        <f>20114.891/1000</f>
        <v>20.114891</v>
      </c>
      <c r="Q11" s="3">
        <f>16260.33/1000</f>
        <v>16.26033</v>
      </c>
      <c r="R11" s="3">
        <f>30500663/1000000</f>
        <v>30.500662999999999</v>
      </c>
      <c r="S11" s="3">
        <f>27559489/1000000</f>
        <v>27.559488999999999</v>
      </c>
      <c r="T11" s="3">
        <f>18967.917/1000</f>
        <v>18.967917</v>
      </c>
      <c r="U11" s="3">
        <f>19221.542/1000</f>
        <v>19.221542000000003</v>
      </c>
      <c r="V11" s="3">
        <f>37037.013/1000</f>
        <v>37.037013000000002</v>
      </c>
      <c r="W11" s="3">
        <v>46.713999999999999</v>
      </c>
      <c r="X11" s="3">
        <v>39.643000000000001</v>
      </c>
      <c r="Y11" s="3">
        <v>45.661999999999999</v>
      </c>
      <c r="Z11" s="3">
        <v>9.3789999999999996</v>
      </c>
      <c r="AA11" s="3">
        <v>28.382999999999999</v>
      </c>
      <c r="AB11" s="66">
        <f>31.526*2</f>
        <v>63.052</v>
      </c>
      <c r="AC11" s="66">
        <v>41.47</v>
      </c>
      <c r="AD11" s="66">
        <v>17.73</v>
      </c>
      <c r="AE11" s="66">
        <v>6</v>
      </c>
      <c r="AF11" s="3">
        <v>20</v>
      </c>
      <c r="AG11" s="3">
        <v>41</v>
      </c>
    </row>
    <row r="12" spans="1:33" x14ac:dyDescent="0.3">
      <c r="A12" s="110"/>
      <c r="B12" s="13">
        <v>14</v>
      </c>
      <c r="C12" s="6" t="s">
        <v>105</v>
      </c>
      <c r="D12" s="7"/>
      <c r="E12" s="7"/>
      <c r="F12" s="7"/>
      <c r="G12" s="7"/>
      <c r="H12" s="7">
        <f>(2014723*5)/1000000</f>
        <v>10.073615</v>
      </c>
      <c r="I12" s="7">
        <f>(1795055*5)/1000000</f>
        <v>8.9752749999999999</v>
      </c>
      <c r="J12" s="7">
        <f>6501566/1000000</f>
        <v>6.5015660000000004</v>
      </c>
      <c r="K12" s="7">
        <f>19706215/1000000</f>
        <v>19.706215</v>
      </c>
      <c r="L12" s="7">
        <f>19362252/1000000</f>
        <v>19.362252000000002</v>
      </c>
      <c r="M12" s="7">
        <f>15382944/1000000</f>
        <v>15.382944</v>
      </c>
      <c r="N12" s="7">
        <f>27964.226/1000</f>
        <v>27.964226</v>
      </c>
      <c r="O12" s="7">
        <f>37535.951/1000</f>
        <v>37.535951000000004</v>
      </c>
      <c r="P12" s="7">
        <f>37634559/1000000</f>
        <v>37.634559000000003</v>
      </c>
      <c r="Q12" s="7">
        <f>107745198/1000000</f>
        <v>107.745198</v>
      </c>
      <c r="R12" s="7">
        <f>39769683/1000000</f>
        <v>39.769683000000001</v>
      </c>
      <c r="S12" s="7">
        <f>79912161/1000000</f>
        <v>79.912160999999998</v>
      </c>
      <c r="T12" s="7">
        <f>69256.688/1000</f>
        <v>69.256687999999997</v>
      </c>
      <c r="U12" s="7">
        <f>71078.339/1000</f>
        <v>71.078339000000014</v>
      </c>
      <c r="V12" s="7">
        <f>74006539/1000000</f>
        <v>74.006539000000004</v>
      </c>
      <c r="W12" s="7">
        <v>88.468000000000004</v>
      </c>
      <c r="X12" s="7">
        <v>83.088999999999999</v>
      </c>
      <c r="Y12" s="7">
        <v>52.131</v>
      </c>
      <c r="Z12" s="7">
        <v>50.16</v>
      </c>
      <c r="AA12" s="7">
        <v>1.5880000000000001</v>
      </c>
      <c r="AB12" s="67">
        <v>23.61</v>
      </c>
      <c r="AC12" s="7">
        <v>26.73</v>
      </c>
      <c r="AD12" s="7">
        <v>-20</v>
      </c>
      <c r="AE12" s="67">
        <v>6.9029999999999996</v>
      </c>
      <c r="AF12" s="3">
        <v>19.350000000000001</v>
      </c>
      <c r="AG12" s="3">
        <v>31.52</v>
      </c>
    </row>
    <row r="13" spans="1:33" x14ac:dyDescent="0.3">
      <c r="A13" s="110"/>
      <c r="B13" s="13">
        <v>2</v>
      </c>
      <c r="C13" s="1" t="s">
        <v>15</v>
      </c>
      <c r="D13" s="3"/>
      <c r="E13" s="3"/>
      <c r="F13" s="3"/>
      <c r="G13" s="3"/>
      <c r="H13" s="3">
        <f>(524061*5)/1000000</f>
        <v>2.6203050000000001</v>
      </c>
      <c r="I13" s="3">
        <f>(599699*5)/1000000</f>
        <v>2.9984950000000001</v>
      </c>
      <c r="J13" s="22">
        <f>(2686.106/1000)/J5</f>
        <v>3.3576325000000004E-2</v>
      </c>
      <c r="K13" s="22">
        <f>(7629.984/1000)/K5</f>
        <v>3.7219434146341462E-2</v>
      </c>
      <c r="L13" s="22">
        <f>(13692.525/1000)/L5</f>
        <v>6.6792804878048784E-2</v>
      </c>
      <c r="M13" s="22">
        <f>(13692.525/1000)/M5</f>
        <v>6.9859821428571431E-2</v>
      </c>
      <c r="N13" s="22">
        <f>(10758.41/1000)/N5</f>
        <v>5.4889846938775508E-2</v>
      </c>
      <c r="O13" s="22">
        <f>(15722.522/1000)/O5</f>
        <v>7.9809756345177674E-2</v>
      </c>
      <c r="P13" s="22">
        <f>(19653.151/1000)/P5</f>
        <v>9.9762187817258888E-2</v>
      </c>
      <c r="Q13" s="22">
        <f>(22509.926/1000)/Q5</f>
        <v>0.1148465612244898</v>
      </c>
      <c r="R13" s="22">
        <f>(21433.066/1000)/R5</f>
        <v>0.10991315897435898</v>
      </c>
      <c r="S13" s="22">
        <f>(21302.947/1000)/S5</f>
        <v>0.10924588205128205</v>
      </c>
      <c r="T13" s="22">
        <f>(21302.947/1000)/T5</f>
        <v>0.10980900515463918</v>
      </c>
      <c r="U13" s="22">
        <f>(21299.303/1000)/U5</f>
        <v>0.10979022164948453</v>
      </c>
      <c r="V13" s="22">
        <f>(21299.303/1000)/V5</f>
        <v>0.10979022164948453</v>
      </c>
      <c r="W13" s="22">
        <f>(21.289)/W5</f>
        <v>0.10973711340206187</v>
      </c>
      <c r="X13" s="22">
        <f>(55.485)/X5</f>
        <v>0.27065853658536587</v>
      </c>
      <c r="Y13" s="22">
        <f>(3.084)/Y5</f>
        <v>1.3067796610169493E-2</v>
      </c>
      <c r="Z13" s="22">
        <v>0.13</v>
      </c>
      <c r="AA13" s="22">
        <v>0.13</v>
      </c>
      <c r="AB13" s="68">
        <v>0</v>
      </c>
      <c r="AC13" s="47">
        <v>7.0000000000000007E-2</v>
      </c>
      <c r="AD13" s="47">
        <v>0</v>
      </c>
      <c r="AE13" s="95">
        <v>0.04</v>
      </c>
      <c r="AF13" s="47">
        <v>0.03</v>
      </c>
      <c r="AG13" s="1">
        <v>0.04</v>
      </c>
    </row>
    <row r="14" spans="1:33" x14ac:dyDescent="0.3">
      <c r="A14" s="111" t="s">
        <v>14</v>
      </c>
      <c r="B14" s="14">
        <v>8</v>
      </c>
      <c r="C14" s="6" t="s">
        <v>16</v>
      </c>
      <c r="D14" s="7"/>
      <c r="E14" s="7"/>
      <c r="F14" s="7"/>
      <c r="G14" s="7"/>
      <c r="H14" s="43">
        <f>(31089*5)/1000000</f>
        <v>0.155445</v>
      </c>
      <c r="I14" s="7">
        <f>(404543*5)/1000000</f>
        <v>2.0227149999999998</v>
      </c>
      <c r="J14" s="7">
        <f>31079.921/1000</f>
        <v>31.079920999999999</v>
      </c>
      <c r="K14" s="7">
        <f>32491.842/1000</f>
        <v>32.491841999999998</v>
      </c>
      <c r="L14" s="7">
        <f>23821.277/1000</f>
        <v>23.821276999999998</v>
      </c>
      <c r="M14" s="7">
        <f>30262.296/1000</f>
        <v>30.262295999999999</v>
      </c>
      <c r="N14" s="7">
        <f>50780863/1000000</f>
        <v>50.780862999999997</v>
      </c>
      <c r="O14" s="7">
        <f>67445599/1000000</f>
        <v>67.445599000000001</v>
      </c>
      <c r="P14" s="7">
        <f>63909.374/1000</f>
        <v>63.909374000000007</v>
      </c>
      <c r="Q14" s="7">
        <f>173274.284/1000</f>
        <v>173.27428400000002</v>
      </c>
      <c r="R14" s="7">
        <f>179469.543/1000</f>
        <v>179.46954300000002</v>
      </c>
      <c r="S14" s="7">
        <f>245315.819/1000</f>
        <v>245.31581899999998</v>
      </c>
      <c r="T14" s="7">
        <f>200626.102/1000</f>
        <v>200.626102</v>
      </c>
      <c r="U14" s="7">
        <f>234220.106/1000</f>
        <v>234.22010599999999</v>
      </c>
      <c r="V14" s="7">
        <f>271778.737/1000</f>
        <v>271.77873700000004</v>
      </c>
      <c r="W14" s="7">
        <f>359.733</f>
        <v>359.733</v>
      </c>
      <c r="X14" s="7">
        <v>390.60599999999999</v>
      </c>
      <c r="Y14" s="7">
        <v>443.89600000000002</v>
      </c>
      <c r="Z14" s="7">
        <v>396.1</v>
      </c>
      <c r="AA14" s="7">
        <v>644.29999999999995</v>
      </c>
      <c r="AB14" s="7">
        <v>471.7</v>
      </c>
      <c r="AC14" s="7">
        <v>443.4</v>
      </c>
      <c r="AD14" s="7">
        <v>470.9</v>
      </c>
      <c r="AE14" s="7">
        <v>526.20000000000005</v>
      </c>
      <c r="AF14" s="1"/>
      <c r="AG14" s="1"/>
    </row>
    <row r="15" spans="1:33" x14ac:dyDescent="0.3">
      <c r="A15" s="112"/>
      <c r="B15" s="14">
        <v>7</v>
      </c>
      <c r="C15" s="1" t="s">
        <v>17</v>
      </c>
      <c r="D15" s="3"/>
      <c r="E15" s="3"/>
      <c r="F15" s="3"/>
      <c r="G15" s="3"/>
      <c r="H15" s="3">
        <f>(120000+4622696+14275+2208553)*5/1000000</f>
        <v>34.827620000000003</v>
      </c>
      <c r="I15" s="3">
        <f>(12000000+8881387+319530+5476894)*5/1000000</f>
        <v>133.38905500000001</v>
      </c>
      <c r="J15" s="3">
        <f>(122202612+88388853+31096507+2493989+119837128+12158762)/1000000</f>
        <v>376.17785099999998</v>
      </c>
      <c r="K15" s="3">
        <f>(97262716+136293203+29927874+24939895+112738949+30356586)/1000000</f>
        <v>431.51922300000001</v>
      </c>
      <c r="L15" s="3">
        <f>(52425000+101538104+32532976+67337716+193359209+23723905)/1000000</f>
        <v>470.91690999999997</v>
      </c>
      <c r="M15" s="3">
        <f>(71250000+108053549+65019273+33675000+195590759+17634)/1000000</f>
        <v>473.60621500000002</v>
      </c>
      <c r="N15" s="3">
        <f>(280925.053+176640.814)/1000</f>
        <v>457.56586700000003</v>
      </c>
      <c r="O15" s="3">
        <f>(455310.005+130069.261)/1000</f>
        <v>585.37926600000003</v>
      </c>
      <c r="P15" s="3">
        <f>(12876506+479734749+1052302+134774443)/1000000</f>
        <v>628.43799999999999</v>
      </c>
      <c r="Q15" s="3">
        <f>(1010984888+616899892+40170771+247519001)/1000000</f>
        <v>1915.574552</v>
      </c>
      <c r="R15" s="3">
        <f>(922411285+667688793+132773431+308572226)/1000000</f>
        <v>2031.445735</v>
      </c>
      <c r="S15" s="3">
        <f>(1091580057+742741654+135773353+563291966)/1000000</f>
        <v>2533.3870299999999</v>
      </c>
      <c r="T15" s="3">
        <f>(112974953+584034666+3413463+514952264)/1000000</f>
        <v>1215.375346</v>
      </c>
      <c r="U15" s="3">
        <f>(128719799+543231584+1988542+565040296)/1000000</f>
        <v>1238.980221</v>
      </c>
      <c r="V15" s="3">
        <f>(490539261+631693024)/1000000</f>
        <v>1122.232285</v>
      </c>
      <c r="W15" s="3">
        <f>747.503+583.844</f>
        <v>1331.3470000000002</v>
      </c>
      <c r="X15" s="3">
        <f>996.857+552.26</f>
        <v>1549.117</v>
      </c>
      <c r="Y15" s="3">
        <f>203.128+698.582+40.534+984.914</f>
        <v>1927.1579999999999</v>
      </c>
      <c r="Z15" s="3">
        <f>155.875+837.398+31.59+616.385</f>
        <v>1641.248</v>
      </c>
      <c r="AA15" s="3">
        <v>1842.9</v>
      </c>
      <c r="AB15" s="3">
        <v>1837.7</v>
      </c>
      <c r="AC15" s="3">
        <v>2142.8000000000002</v>
      </c>
      <c r="AD15" s="3">
        <v>2192.5</v>
      </c>
      <c r="AE15" s="3">
        <v>2186.5</v>
      </c>
      <c r="AF15" s="1"/>
      <c r="AG15" s="1"/>
    </row>
    <row r="16" spans="1:33" x14ac:dyDescent="0.3">
      <c r="A16" s="112"/>
      <c r="B16" s="14">
        <v>9</v>
      </c>
      <c r="C16" s="6" t="s">
        <v>92</v>
      </c>
      <c r="D16" s="7"/>
      <c r="E16" s="7"/>
      <c r="F16" s="7"/>
      <c r="G16" s="7"/>
      <c r="H16" s="7">
        <f>(658356*5)/1000000</f>
        <v>3.2917800000000002</v>
      </c>
      <c r="I16" s="7">
        <f>(3018632*5)/1000000</f>
        <v>15.093159999999999</v>
      </c>
      <c r="J16" s="7">
        <f>8295.588/1000</f>
        <v>8.2955880000000004</v>
      </c>
      <c r="K16" s="7">
        <f>16029.997/1000</f>
        <v>16.029996999999998</v>
      </c>
      <c r="L16" s="7">
        <f>15998.942/1000</f>
        <v>15.998942</v>
      </c>
      <c r="M16" s="7">
        <f>20862.207/1000</f>
        <v>20.862206999999998</v>
      </c>
      <c r="N16" s="7">
        <f>29249.625/1000</f>
        <v>29.249625000000002</v>
      </c>
      <c r="O16" s="7">
        <f>44673.59/1000</f>
        <v>44.673589999999997</v>
      </c>
      <c r="P16" s="7">
        <f>20848.79/1000</f>
        <v>20.848790000000001</v>
      </c>
      <c r="Q16" s="7">
        <f>46380.143/1000</f>
        <v>46.380142999999997</v>
      </c>
      <c r="R16" s="7">
        <f>52295170/1000000</f>
        <v>52.295169999999999</v>
      </c>
      <c r="S16" s="7">
        <f>47761601/1000000</f>
        <v>47.761600999999999</v>
      </c>
      <c r="T16" s="7">
        <f>69022557/1000000</f>
        <v>69.022557000000006</v>
      </c>
      <c r="U16" s="7">
        <f>101832978/1000000</f>
        <v>101.832978</v>
      </c>
      <c r="V16" s="7">
        <f>101832978/1000000</f>
        <v>101.832978</v>
      </c>
      <c r="W16" s="7">
        <v>201.73099999999999</v>
      </c>
      <c r="X16" s="7">
        <v>264.137</v>
      </c>
      <c r="Y16" s="7">
        <v>359.4</v>
      </c>
      <c r="Z16" s="7">
        <v>240.89099999999999</v>
      </c>
      <c r="AA16" s="7">
        <v>288.60000000000002</v>
      </c>
      <c r="AB16" s="7">
        <v>269</v>
      </c>
      <c r="AC16" s="7">
        <v>251.7</v>
      </c>
      <c r="AD16" s="7">
        <v>234.6</v>
      </c>
      <c r="AE16" s="7">
        <v>258.5</v>
      </c>
      <c r="AF16" s="1"/>
      <c r="AG16" s="1"/>
    </row>
    <row r="17" spans="1:33" x14ac:dyDescent="0.3">
      <c r="A17" s="112"/>
      <c r="B17" s="14">
        <v>10</v>
      </c>
      <c r="C17" s="1" t="s">
        <v>18</v>
      </c>
      <c r="D17" s="3"/>
      <c r="E17" s="3"/>
      <c r="F17" s="3"/>
      <c r="G17" s="3"/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/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1"/>
      <c r="AG17" s="1"/>
    </row>
    <row r="18" spans="1:33" x14ac:dyDescent="0.3">
      <c r="A18" s="112"/>
      <c r="B18" s="14">
        <v>15</v>
      </c>
      <c r="C18" s="6" t="s">
        <v>19</v>
      </c>
      <c r="D18" s="7"/>
      <c r="E18" s="7"/>
      <c r="F18" s="7"/>
      <c r="G18" s="7"/>
      <c r="H18" s="7">
        <f>(49698068*5)/1000000</f>
        <v>248.49034</v>
      </c>
      <c r="I18" s="7">
        <f>(60550922*5)/1000000</f>
        <v>302.75461000000001</v>
      </c>
      <c r="J18" s="7">
        <f>739966.135/1000</f>
        <v>739.96613500000001</v>
      </c>
      <c r="K18" s="7">
        <f>916613.163/1000</f>
        <v>916.61316299999999</v>
      </c>
      <c r="L18" s="7">
        <f>882905.452/1000</f>
        <v>882.90545200000008</v>
      </c>
      <c r="M18" s="7">
        <f>995126.711/1000</f>
        <v>995.126711</v>
      </c>
      <c r="N18" s="7">
        <f>1078640499/1000000</f>
        <v>1078.6404990000001</v>
      </c>
      <c r="O18" s="7">
        <f>1327142287/1000000</f>
        <v>1327.1422869999999</v>
      </c>
      <c r="P18" s="7">
        <f>1431196787/1000000</f>
        <v>1431.1967870000001</v>
      </c>
      <c r="Q18" s="7">
        <f>2999399444/1000000</f>
        <v>2999.3994440000001</v>
      </c>
      <c r="R18" s="7">
        <f>3368334137/1000000</f>
        <v>3368.3341369999998</v>
      </c>
      <c r="S18" s="7">
        <f>4238039586/1000000</f>
        <v>4238.0395859999999</v>
      </c>
      <c r="T18" s="7">
        <f>2975436285/1000000</f>
        <v>2975.4362850000002</v>
      </c>
      <c r="U18" s="7">
        <f>3109472342/1000000</f>
        <v>3109.472342</v>
      </c>
      <c r="V18" s="7">
        <f>3109472.342/1000</f>
        <v>3109.472342</v>
      </c>
      <c r="W18" s="7">
        <v>3214.203</v>
      </c>
      <c r="X18" s="7">
        <v>3383.7730000000001</v>
      </c>
      <c r="Y18" s="7">
        <v>4673.3999999999996</v>
      </c>
      <c r="Z18" s="7">
        <v>3891</v>
      </c>
      <c r="AA18" s="7">
        <v>4307</v>
      </c>
      <c r="AB18" s="7">
        <v>4516.1000000000004</v>
      </c>
      <c r="AC18" s="7">
        <v>4978.2</v>
      </c>
      <c r="AD18" s="7">
        <v>4904.1000000000004</v>
      </c>
      <c r="AE18" s="7">
        <v>5264.2</v>
      </c>
      <c r="AF18" s="1"/>
      <c r="AG18" s="1"/>
    </row>
    <row r="19" spans="1:33" x14ac:dyDescent="0.3">
      <c r="A19" s="112"/>
      <c r="B19" s="14">
        <v>18</v>
      </c>
      <c r="C19" s="1" t="s">
        <v>21</v>
      </c>
      <c r="D19" s="3"/>
      <c r="E19" s="3"/>
      <c r="F19" s="3"/>
      <c r="G19" s="3"/>
      <c r="H19" s="3">
        <f>(28295121*5)/1000000</f>
        <v>141.475605</v>
      </c>
      <c r="I19" s="3">
        <f>(22864809*5)/1000000</f>
        <v>114.324045</v>
      </c>
      <c r="J19" s="3">
        <f>355049.071/1000</f>
        <v>355.04907099999997</v>
      </c>
      <c r="K19" s="3">
        <f>484178.619/1000</f>
        <v>484.17861900000003</v>
      </c>
      <c r="L19" s="3">
        <f>549428.571/1000</f>
        <v>549.42857100000003</v>
      </c>
      <c r="M19" s="3">
        <f>564453.234/1000</f>
        <v>564.45323400000007</v>
      </c>
      <c r="N19" s="3">
        <f>705232.901/1000</f>
        <v>705.23290099999997</v>
      </c>
      <c r="O19" s="3">
        <f>748484.644/1000</f>
        <v>748.484644</v>
      </c>
      <c r="P19" s="3">
        <f>821781.45/1000</f>
        <v>821.78144999999995</v>
      </c>
      <c r="Q19" s="3">
        <f>1095720799/1000000</f>
        <v>1095.7207989999999</v>
      </c>
      <c r="R19" s="3">
        <f>1433955137/1000000</f>
        <v>1433.9551369999999</v>
      </c>
      <c r="S19" s="3">
        <f>1985948779/1000000</f>
        <v>1985.9487790000001</v>
      </c>
      <c r="T19" s="3">
        <f>1925942042/1000000</f>
        <v>1925.9420419999999</v>
      </c>
      <c r="U19" s="3">
        <f>2055342715/1000000</f>
        <v>2055.3427150000002</v>
      </c>
      <c r="V19" s="3">
        <f>2055342.715/1000</f>
        <v>2055.3427150000002</v>
      </c>
      <c r="W19" s="3">
        <v>2147.7339999999999</v>
      </c>
      <c r="X19" s="3">
        <v>2059.328</v>
      </c>
      <c r="Y19" s="3">
        <v>2648.3290000000002</v>
      </c>
      <c r="Z19" s="3">
        <v>2021.402</v>
      </c>
      <c r="AA19" s="3">
        <v>2442.6190000000001</v>
      </c>
      <c r="AB19" s="3">
        <v>2578.1</v>
      </c>
      <c r="AC19" s="3">
        <v>2850.7</v>
      </c>
      <c r="AD19" s="3">
        <v>2936.2</v>
      </c>
      <c r="AE19" s="3">
        <v>3077.4</v>
      </c>
      <c r="AF19" s="1"/>
      <c r="AG19" s="1"/>
    </row>
    <row r="20" spans="1:33" x14ac:dyDescent="0.3">
      <c r="A20" s="112"/>
      <c r="B20" s="14">
        <v>17</v>
      </c>
      <c r="C20" s="6" t="s">
        <v>22</v>
      </c>
      <c r="D20" s="7"/>
      <c r="E20" s="7"/>
      <c r="F20" s="7"/>
      <c r="G20" s="7"/>
      <c r="H20" s="7">
        <f>H21+(17.536+35.176)*5</f>
        <v>306.101855</v>
      </c>
      <c r="I20" s="7">
        <f>I21+(1038.475+404.543)*5</f>
        <v>7267.0062200000002</v>
      </c>
      <c r="J20" s="7">
        <f>J21+J22+(30940.583/1000)</f>
        <v>498.01968799999997</v>
      </c>
      <c r="K20" s="7">
        <f>K21+K22+(31997.858/1000)</f>
        <v>359.43282900000003</v>
      </c>
      <c r="L20" s="7">
        <f>L21+L22+L14</f>
        <v>441.80125599999997</v>
      </c>
      <c r="M20" s="7">
        <f>M21+M22+M14</f>
        <v>510.30909399999996</v>
      </c>
      <c r="N20" s="7">
        <f>592031.048/1000</f>
        <v>592.03104799999994</v>
      </c>
      <c r="O20" s="7">
        <f>725005.156/1000</f>
        <v>725.00515599999994</v>
      </c>
      <c r="P20" s="7">
        <f>976249835/1000000</f>
        <v>976.24983499999996</v>
      </c>
      <c r="Q20" s="7">
        <f>1271803048/1000000</f>
        <v>1271.803048</v>
      </c>
      <c r="R20" s="7">
        <f>1427506596/1000000</f>
        <v>1427.5065959999999</v>
      </c>
      <c r="S20" s="7">
        <f>1842930627/1000000</f>
        <v>1842.930627</v>
      </c>
      <c r="T20" s="7">
        <f>1844244847/1000000</f>
        <v>1844.2448469999999</v>
      </c>
      <c r="U20" s="7">
        <f>1938382555/1000000</f>
        <v>1938.3825549999999</v>
      </c>
      <c r="V20" s="7">
        <f>1938382.555/1000</f>
        <v>1938.3825549999999</v>
      </c>
      <c r="W20" s="7">
        <v>2143.7080000000001</v>
      </c>
      <c r="X20" s="7">
        <v>2257.5030000000002</v>
      </c>
      <c r="Y20" s="7">
        <v>2503.8139999999999</v>
      </c>
      <c r="Z20" s="7">
        <v>2129.3620000000001</v>
      </c>
      <c r="AA20" s="7">
        <v>2494.4569999999999</v>
      </c>
      <c r="AB20" s="7">
        <v>2446.1999999999998</v>
      </c>
      <c r="AC20" s="7">
        <v>2493.8000000000002</v>
      </c>
      <c r="AD20" s="7">
        <v>2433.8000000000002</v>
      </c>
      <c r="AE20" s="7">
        <v>2818.9</v>
      </c>
      <c r="AF20" s="1"/>
      <c r="AG20" s="1"/>
    </row>
    <row r="21" spans="1:33" x14ac:dyDescent="0.3">
      <c r="A21" s="112"/>
      <c r="B21" s="14">
        <v>19</v>
      </c>
      <c r="C21" s="1" t="s">
        <v>88</v>
      </c>
      <c r="D21" s="3"/>
      <c r="E21" s="3"/>
      <c r="F21" s="3"/>
      <c r="G21" s="3"/>
      <c r="H21" s="3">
        <f>(8508371*5)/1000000</f>
        <v>42.541854999999998</v>
      </c>
      <c r="I21" s="3">
        <f>(10383244*5)/1000000</f>
        <v>51.916220000000003</v>
      </c>
      <c r="J21" s="3">
        <f>124786.705/1000</f>
        <v>124.786705</v>
      </c>
      <c r="K21" s="3">
        <f>100368.337/1000</f>
        <v>100.368337</v>
      </c>
      <c r="L21" s="3">
        <f>99661.669/1000</f>
        <v>99.661668999999989</v>
      </c>
      <c r="M21" s="3">
        <f>101707.271/1000</f>
        <v>101.70727099999999</v>
      </c>
      <c r="N21" s="3">
        <f>144281.209/1000</f>
        <v>144.28120899999999</v>
      </c>
      <c r="O21" s="3">
        <f>173837.705/1000</f>
        <v>173.837705</v>
      </c>
      <c r="P21" s="3">
        <f>160500796/1000000</f>
        <v>160.50079600000001</v>
      </c>
      <c r="Q21" s="3">
        <f>167611927/1000000</f>
        <v>167.61192700000001</v>
      </c>
      <c r="R21" s="3">
        <f>232024811/1000000</f>
        <v>232.024811</v>
      </c>
      <c r="S21" s="3">
        <f>2499243498/10000000</f>
        <v>249.92434979999999</v>
      </c>
      <c r="T21" s="3">
        <f>203023.766/1000</f>
        <v>203.02376599999999</v>
      </c>
      <c r="U21" s="3">
        <f>242360.589/1000</f>
        <v>242.360589</v>
      </c>
      <c r="V21" s="3">
        <f>242360.589/1000</f>
        <v>242.360589</v>
      </c>
      <c r="W21" s="3">
        <f>311.152</f>
        <v>311.15199999999999</v>
      </c>
      <c r="X21" s="3">
        <v>301.42099999999999</v>
      </c>
      <c r="Y21" s="3">
        <v>350.6</v>
      </c>
      <c r="Z21" s="3">
        <v>344.7</v>
      </c>
      <c r="AA21" s="3">
        <v>390.6</v>
      </c>
      <c r="AB21" s="3">
        <v>388.9</v>
      </c>
      <c r="AC21" s="3">
        <v>376.5</v>
      </c>
      <c r="AD21" s="3">
        <v>283.7</v>
      </c>
      <c r="AE21" s="3">
        <v>272.39999999999998</v>
      </c>
      <c r="AF21" s="1"/>
      <c r="AG21" s="1"/>
    </row>
    <row r="22" spans="1:33" x14ac:dyDescent="0.3">
      <c r="A22" s="112"/>
      <c r="B22" s="14">
        <v>20</v>
      </c>
      <c r="C22" s="6" t="s">
        <v>87</v>
      </c>
      <c r="D22" s="7"/>
      <c r="E22" s="7"/>
      <c r="F22" s="7"/>
      <c r="G22" s="7"/>
      <c r="H22" s="7">
        <f>(2082584+27853164)*5/1000000</f>
        <v>149.67874</v>
      </c>
      <c r="I22" s="7">
        <f>(28820393+1811069)*5/1000000</f>
        <v>153.15731</v>
      </c>
      <c r="J22" s="7">
        <f>(313910175+28382225)/1000000</f>
        <v>342.29239999999999</v>
      </c>
      <c r="K22" s="7">
        <f>(204709136+22357498)/1000000</f>
        <v>227.06663399999999</v>
      </c>
      <c r="L22" s="7">
        <f>(293525.979+24792.331)/1000</f>
        <v>318.31831</v>
      </c>
      <c r="M22" s="7">
        <f>(357204.536+21134.991)/1000</f>
        <v>378.33952699999998</v>
      </c>
      <c r="N22" s="7">
        <f>430343.352/1000</f>
        <v>430.34335200000004</v>
      </c>
      <c r="O22" s="7">
        <f>474385.137/1000</f>
        <v>474.38513699999999</v>
      </c>
      <c r="P22" s="7">
        <f>513869238/1000000</f>
        <v>513.869238</v>
      </c>
      <c r="Q22" s="7">
        <f>539343275/1000000</f>
        <v>539.34327499999995</v>
      </c>
      <c r="R22" s="7">
        <f>533445853/1000000</f>
        <v>533.44585300000006</v>
      </c>
      <c r="S22" s="7">
        <f>838114736/1000000</f>
        <v>838.11473599999999</v>
      </c>
      <c r="T22" s="7">
        <f>1008220486/1000000</f>
        <v>1008.2204860000001</v>
      </c>
      <c r="U22" s="7">
        <f>921214752/1000000</f>
        <v>921.21475199999998</v>
      </c>
      <c r="V22" s="7">
        <f>921214.752/1000</f>
        <v>921.21475199999998</v>
      </c>
      <c r="W22" s="7">
        <v>978.48400000000004</v>
      </c>
      <c r="X22" s="7">
        <v>975.74</v>
      </c>
      <c r="Y22" s="7">
        <v>1640.8</v>
      </c>
      <c r="Z22" s="7">
        <v>1337.7</v>
      </c>
      <c r="AA22" s="7">
        <v>1414.4</v>
      </c>
      <c r="AB22" s="7">
        <v>1526.7</v>
      </c>
      <c r="AC22" s="7">
        <v>1624.9</v>
      </c>
      <c r="AD22" s="7">
        <v>1606.3</v>
      </c>
      <c r="AE22" s="7">
        <v>1921.3</v>
      </c>
      <c r="AF22" s="1"/>
      <c r="AG22" s="1"/>
    </row>
    <row r="23" spans="1:33" x14ac:dyDescent="0.3">
      <c r="A23" s="112"/>
      <c r="B23" s="14">
        <v>16</v>
      </c>
      <c r="C23" s="1" t="s">
        <v>20</v>
      </c>
      <c r="D23" s="3"/>
      <c r="E23" s="3"/>
      <c r="F23" s="3"/>
      <c r="G23" s="3"/>
      <c r="H23" s="3">
        <f>(16889788*5)/1000000</f>
        <v>84.448939999999993</v>
      </c>
      <c r="I23" s="3">
        <f>(19057471*5)/1000000</f>
        <v>95.287355000000005</v>
      </c>
      <c r="J23" s="3">
        <f>260864.944/1000</f>
        <v>260.86494399999998</v>
      </c>
      <c r="K23" s="3">
        <f>274382.978/1000</f>
        <v>274.38297799999998</v>
      </c>
      <c r="L23" s="3">
        <f>241545.652/1000</f>
        <v>241.54565199999999</v>
      </c>
      <c r="M23" s="3">
        <f>226854.934/1000</f>
        <v>226.85493400000001</v>
      </c>
      <c r="N23" s="3">
        <f>258298.092/1000</f>
        <v>258.298092</v>
      </c>
      <c r="O23" s="3">
        <f>318153.685/1000</f>
        <v>318.153685</v>
      </c>
      <c r="P23" s="3">
        <f>303794.797/1000</f>
        <v>303.79479700000002</v>
      </c>
      <c r="Q23" s="3">
        <f>386926.207/1000</f>
        <v>386.92620699999998</v>
      </c>
      <c r="R23" s="3">
        <f>341317083/1000000</f>
        <v>341.31708300000003</v>
      </c>
      <c r="S23" s="3">
        <f>376091292/1000000</f>
        <v>376.09129200000001</v>
      </c>
      <c r="T23" s="3">
        <v>480.72989899999999</v>
      </c>
      <c r="U23" s="3">
        <f>414824586/1000000</f>
        <v>414.82458600000001</v>
      </c>
      <c r="V23" s="3">
        <f>435981015/1000000</f>
        <v>435.98101500000001</v>
      </c>
      <c r="W23" s="3">
        <v>559.226</v>
      </c>
      <c r="X23" s="3">
        <v>577.98800000000006</v>
      </c>
      <c r="Y23" s="3">
        <v>369.2</v>
      </c>
      <c r="Z23" s="3">
        <v>329.7</v>
      </c>
      <c r="AA23" s="3">
        <v>307.10000000000002</v>
      </c>
      <c r="AB23" s="3">
        <v>176.9</v>
      </c>
      <c r="AC23" s="3">
        <v>76.3</v>
      </c>
      <c r="AD23" s="3">
        <v>-88.6</v>
      </c>
      <c r="AE23" s="3">
        <v>64.5</v>
      </c>
      <c r="AF23" s="1"/>
      <c r="AG23" s="1"/>
    </row>
    <row r="25" spans="1:33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  <c r="AG25" s="8" t="s">
        <v>116</v>
      </c>
    </row>
    <row r="26" spans="1:33" x14ac:dyDescent="0.3">
      <c r="A26" s="6" t="s">
        <v>65</v>
      </c>
      <c r="B26" s="17" t="s">
        <v>27</v>
      </c>
      <c r="C26" s="6" t="s">
        <v>85</v>
      </c>
      <c r="D26" s="6">
        <f t="shared" ref="D26:AC26" si="0">D4*D5</f>
        <v>0</v>
      </c>
      <c r="E26" s="6">
        <f t="shared" si="0"/>
        <v>0</v>
      </c>
      <c r="F26" s="33">
        <f t="shared" si="0"/>
        <v>128.47999999999999</v>
      </c>
      <c r="G26" s="33">
        <f t="shared" si="0"/>
        <v>129.21</v>
      </c>
      <c r="H26" s="33">
        <f t="shared" si="0"/>
        <v>84.679999999999993</v>
      </c>
      <c r="I26" s="33">
        <f t="shared" si="0"/>
        <v>150.72</v>
      </c>
      <c r="J26" s="33">
        <f t="shared" si="0"/>
        <v>151.84</v>
      </c>
      <c r="K26" s="33">
        <f t="shared" si="0"/>
        <v>287</v>
      </c>
      <c r="L26" s="33">
        <f t="shared" si="0"/>
        <v>305.45</v>
      </c>
      <c r="M26" s="33">
        <f t="shared" si="0"/>
        <v>297.92</v>
      </c>
      <c r="N26" s="33">
        <f t="shared" si="0"/>
        <v>388.08</v>
      </c>
      <c r="O26" s="33">
        <f t="shared" si="0"/>
        <v>640.25</v>
      </c>
      <c r="P26" s="33">
        <f t="shared" si="0"/>
        <v>1012.5799999999999</v>
      </c>
      <c r="Q26" s="33">
        <f t="shared" si="0"/>
        <v>1003.52</v>
      </c>
      <c r="R26" s="33">
        <f t="shared" si="0"/>
        <v>458.25</v>
      </c>
      <c r="S26" s="7">
        <f t="shared" si="0"/>
        <v>767.91000000000008</v>
      </c>
      <c r="T26" s="7">
        <f t="shared" si="0"/>
        <v>338.142</v>
      </c>
      <c r="U26" s="7">
        <f t="shared" si="0"/>
        <v>200.79</v>
      </c>
      <c r="V26" s="7">
        <f t="shared" si="0"/>
        <v>303.99799999999999</v>
      </c>
      <c r="W26" s="7">
        <f t="shared" si="0"/>
        <v>838.66200000000003</v>
      </c>
      <c r="X26" s="7">
        <f t="shared" si="0"/>
        <v>545.505</v>
      </c>
      <c r="Y26" s="7">
        <f t="shared" si="0"/>
        <v>454.3</v>
      </c>
      <c r="Z26" s="7">
        <f t="shared" si="0"/>
        <v>376.74</v>
      </c>
      <c r="AA26" s="7">
        <f t="shared" si="0"/>
        <v>857.14199999999994</v>
      </c>
      <c r="AB26" s="7">
        <f t="shared" si="0"/>
        <v>382.35890000000006</v>
      </c>
      <c r="AC26" s="7">
        <f t="shared" si="0"/>
        <v>444.10630000000003</v>
      </c>
      <c r="AD26" s="7">
        <f t="shared" ref="AD26:AF26" si="1">AD4*AD5</f>
        <v>315.64323999999999</v>
      </c>
      <c r="AE26" s="7">
        <f t="shared" si="1"/>
        <v>391.73200000000003</v>
      </c>
      <c r="AF26" s="7">
        <f t="shared" si="1"/>
        <v>390.50400000000002</v>
      </c>
      <c r="AG26" s="7">
        <f t="shared" ref="AG26" si="2">AG4*AG5</f>
        <v>390.50400000000002</v>
      </c>
    </row>
    <row r="27" spans="1:33" x14ac:dyDescent="0.3">
      <c r="A27" s="1" t="s">
        <v>66</v>
      </c>
      <c r="B27" s="2" t="s">
        <v>28</v>
      </c>
      <c r="C27" s="1" t="s">
        <v>47</v>
      </c>
      <c r="D27" s="30" t="e">
        <f t="shared" ref="D27:AC27" si="3">D26/D6</f>
        <v>#DIV/0!</v>
      </c>
      <c r="E27" s="30" t="e">
        <f t="shared" si="3"/>
        <v>#DIV/0!</v>
      </c>
      <c r="F27" s="30" t="e">
        <f t="shared" si="3"/>
        <v>#DIV/0!</v>
      </c>
      <c r="G27" s="30" t="e">
        <f t="shared" si="3"/>
        <v>#DIV/0!</v>
      </c>
      <c r="H27" s="30">
        <f t="shared" si="3"/>
        <v>0.201278137565882</v>
      </c>
      <c r="I27" s="30">
        <f t="shared" si="3"/>
        <v>0.34585577378242049</v>
      </c>
      <c r="J27" s="30">
        <f t="shared" si="3"/>
        <v>0.30619361256530503</v>
      </c>
      <c r="K27" s="30">
        <f t="shared" si="3"/>
        <v>0.33032521087886652</v>
      </c>
      <c r="L27" s="30">
        <f t="shared" si="3"/>
        <v>0.34864456574997577</v>
      </c>
      <c r="M27" s="30">
        <f t="shared" si="3"/>
        <v>0.29634137674340866</v>
      </c>
      <c r="N27" s="30">
        <f t="shared" si="3"/>
        <v>0.31887322677875402</v>
      </c>
      <c r="O27" s="30">
        <f t="shared" si="3"/>
        <v>0.44606270956003452</v>
      </c>
      <c r="P27" s="30">
        <f t="shared" si="3"/>
        <v>0.72459954604423082</v>
      </c>
      <c r="Q27" s="30">
        <f t="shared" si="3"/>
        <v>0.65388467049699006</v>
      </c>
      <c r="R27" s="30">
        <f t="shared" si="3"/>
        <v>0.23091601427945932</v>
      </c>
      <c r="S27" s="30">
        <f t="shared" si="3"/>
        <v>0.3346615303704093</v>
      </c>
      <c r="T27" s="30">
        <f t="shared" si="3"/>
        <v>0.15902768233951112</v>
      </c>
      <c r="U27" s="30">
        <f t="shared" si="3"/>
        <v>8.8446755797004284E-2</v>
      </c>
      <c r="V27" s="30">
        <f t="shared" si="3"/>
        <v>0.13068663421284354</v>
      </c>
      <c r="W27" s="30">
        <f t="shared" si="3"/>
        <v>0.35310552847602822</v>
      </c>
      <c r="X27" s="30">
        <f t="shared" si="3"/>
        <v>0.22875175650804314</v>
      </c>
      <c r="Y27" s="30">
        <f t="shared" si="3"/>
        <v>0.18667510395950102</v>
      </c>
      <c r="Z27" s="30">
        <f t="shared" si="3"/>
        <v>0.17046434044725056</v>
      </c>
      <c r="AA27" s="30">
        <f t="shared" si="3"/>
        <v>0.33001346786309133</v>
      </c>
      <c r="AB27" s="30">
        <f t="shared" si="3"/>
        <v>0.13568449254790635</v>
      </c>
      <c r="AC27" s="30">
        <f t="shared" si="3"/>
        <v>0.15709455252918289</v>
      </c>
      <c r="AD27" s="30">
        <f t="shared" ref="AD27:AF27" si="4">AD26/AD6</f>
        <v>0.12994781391519145</v>
      </c>
      <c r="AE27" s="30">
        <f t="shared" si="4"/>
        <v>0.156317637669593</v>
      </c>
      <c r="AF27" s="30">
        <f t="shared" si="4"/>
        <v>0.14036808051761324</v>
      </c>
      <c r="AG27" s="30">
        <f t="shared" ref="AG27" si="5">AG26/AG6</f>
        <v>0.12964940239043826</v>
      </c>
    </row>
    <row r="28" spans="1:33" x14ac:dyDescent="0.3">
      <c r="A28" s="6" t="s">
        <v>67</v>
      </c>
      <c r="B28" s="17" t="s">
        <v>29</v>
      </c>
      <c r="C28" s="6" t="s">
        <v>48</v>
      </c>
      <c r="D28" s="29" t="e">
        <f t="shared" ref="D28:AC28" si="6">D26/D7</f>
        <v>#DIV/0!</v>
      </c>
      <c r="E28" s="29" t="e">
        <f t="shared" si="6"/>
        <v>#DIV/0!</v>
      </c>
      <c r="F28" s="29" t="e">
        <f t="shared" si="6"/>
        <v>#DIV/0!</v>
      </c>
      <c r="G28" s="29" t="e">
        <f t="shared" si="6"/>
        <v>#DIV/0!</v>
      </c>
      <c r="H28" s="29">
        <f t="shared" si="6"/>
        <v>4.0153566052047136</v>
      </c>
      <c r="I28" s="29">
        <f t="shared" ref="I28:AA28" si="7">I26/I7</f>
        <v>5.0559205544203332</v>
      </c>
      <c r="J28" s="29">
        <f t="shared" si="7"/>
        <v>3.516734772907848</v>
      </c>
      <c r="K28" s="29">
        <f t="shared" si="7"/>
        <v>2.7033795277156405</v>
      </c>
      <c r="L28" s="29">
        <f t="shared" si="7"/>
        <v>3.1859646912294859</v>
      </c>
      <c r="M28" s="29">
        <f t="shared" si="7"/>
        <v>2.5476324403296715</v>
      </c>
      <c r="N28" s="29">
        <f t="shared" si="7"/>
        <v>3.0754222340046842</v>
      </c>
      <c r="O28" s="29">
        <f t="shared" si="7"/>
        <v>4.3300766175017262</v>
      </c>
      <c r="P28" s="29">
        <f t="shared" si="7"/>
        <v>7.4324172315255064</v>
      </c>
      <c r="Q28" s="29">
        <f t="shared" si="7"/>
        <v>4.1960425254392391</v>
      </c>
      <c r="R28" s="29">
        <f t="shared" si="7"/>
        <v>1.5465157723549841</v>
      </c>
      <c r="S28" s="29">
        <f t="shared" si="7"/>
        <v>2.5756339102075545</v>
      </c>
      <c r="T28" s="29">
        <f t="shared" si="7"/>
        <v>1.5502155178342036</v>
      </c>
      <c r="U28" s="29">
        <f t="shared" si="7"/>
        <v>0.77055223589494815</v>
      </c>
      <c r="V28" s="29">
        <f t="shared" si="7"/>
        <v>1.1579590833837272</v>
      </c>
      <c r="W28" s="29">
        <f t="shared" si="7"/>
        <v>2.4266629629951129</v>
      </c>
      <c r="X28" s="29">
        <f t="shared" si="7"/>
        <v>1.3569506079481006</v>
      </c>
      <c r="Y28" s="29">
        <f t="shared" si="7"/>
        <v>1.8694550063371356</v>
      </c>
      <c r="Z28" s="29">
        <f t="shared" si="7"/>
        <v>1.1147802929427431</v>
      </c>
      <c r="AA28" s="29">
        <f t="shared" si="7"/>
        <v>2.1177595493403172</v>
      </c>
      <c r="AB28" s="29">
        <f t="shared" si="6"/>
        <v>0.93486283618581922</v>
      </c>
      <c r="AC28" s="29">
        <f t="shared" si="6"/>
        <v>1.0573959523809524</v>
      </c>
      <c r="AD28" s="29">
        <f t="shared" ref="AD28:AF28" si="8">AD26/AD7</f>
        <v>0.8306401052631579</v>
      </c>
      <c r="AE28" s="29">
        <f t="shared" si="8"/>
        <v>1.0583346841735561</v>
      </c>
      <c r="AF28" s="29">
        <f t="shared" si="8"/>
        <v>0.94226769297589463</v>
      </c>
      <c r="AG28" s="29">
        <f t="shared" ref="AG28" si="9">AG26/AG7</f>
        <v>0.87232274494035655</v>
      </c>
    </row>
    <row r="29" spans="1:33" x14ac:dyDescent="0.3">
      <c r="A29" s="15" t="s">
        <v>68</v>
      </c>
      <c r="B29" s="2" t="s">
        <v>30</v>
      </c>
      <c r="C29" s="1" t="s">
        <v>49</v>
      </c>
      <c r="D29" s="3">
        <f t="shared" ref="D29:AE29" si="10">D15-D14</f>
        <v>0</v>
      </c>
      <c r="E29" s="3">
        <f t="shared" si="10"/>
        <v>0</v>
      </c>
      <c r="F29" s="3">
        <f t="shared" si="10"/>
        <v>0</v>
      </c>
      <c r="G29" s="3">
        <f t="shared" si="10"/>
        <v>0</v>
      </c>
      <c r="H29" s="3">
        <f t="shared" si="10"/>
        <v>34.672175000000003</v>
      </c>
      <c r="I29" s="3">
        <f t="shared" ref="I29:AA29" si="11">I15-I14</f>
        <v>131.36634000000001</v>
      </c>
      <c r="J29" s="3">
        <f t="shared" si="11"/>
        <v>345.09792999999996</v>
      </c>
      <c r="K29" s="3">
        <f t="shared" si="11"/>
        <v>399.02738099999999</v>
      </c>
      <c r="L29" s="3">
        <f t="shared" si="11"/>
        <v>447.09563299999996</v>
      </c>
      <c r="M29" s="3">
        <f t="shared" si="11"/>
        <v>443.34391900000003</v>
      </c>
      <c r="N29" s="3">
        <f t="shared" si="11"/>
        <v>406.78500400000001</v>
      </c>
      <c r="O29" s="3">
        <f t="shared" si="11"/>
        <v>517.93366700000001</v>
      </c>
      <c r="P29" s="3">
        <f t="shared" si="11"/>
        <v>564.52862600000003</v>
      </c>
      <c r="Q29" s="3">
        <f t="shared" si="11"/>
        <v>1742.300268</v>
      </c>
      <c r="R29" s="3">
        <f t="shared" si="11"/>
        <v>1851.9761920000001</v>
      </c>
      <c r="S29" s="3">
        <f t="shared" si="11"/>
        <v>2288.0712109999999</v>
      </c>
      <c r="T29" s="3">
        <f t="shared" si="11"/>
        <v>1014.7492440000001</v>
      </c>
      <c r="U29" s="3">
        <f t="shared" si="11"/>
        <v>1004.760115</v>
      </c>
      <c r="V29" s="3">
        <f t="shared" si="11"/>
        <v>850.45354799999996</v>
      </c>
      <c r="W29" s="3">
        <f t="shared" si="11"/>
        <v>971.61400000000026</v>
      </c>
      <c r="X29" s="3">
        <f t="shared" si="11"/>
        <v>1158.511</v>
      </c>
      <c r="Y29" s="3">
        <f t="shared" si="11"/>
        <v>1483.2619999999999</v>
      </c>
      <c r="Z29" s="3">
        <f t="shared" si="11"/>
        <v>1245.1480000000001</v>
      </c>
      <c r="AA29" s="3">
        <f t="shared" si="11"/>
        <v>1198.6000000000001</v>
      </c>
      <c r="AB29" s="3">
        <f t="shared" si="10"/>
        <v>1366</v>
      </c>
      <c r="AC29" s="3">
        <f t="shared" si="10"/>
        <v>1699.4</v>
      </c>
      <c r="AD29" s="3">
        <f t="shared" si="10"/>
        <v>1721.6</v>
      </c>
      <c r="AE29" s="3">
        <f t="shared" si="10"/>
        <v>1660.3</v>
      </c>
      <c r="AF29" s="1"/>
      <c r="AG29" s="1"/>
    </row>
    <row r="30" spans="1:33" x14ac:dyDescent="0.3">
      <c r="A30" s="6" t="s">
        <v>69</v>
      </c>
      <c r="B30" s="17" t="s">
        <v>31</v>
      </c>
      <c r="C30" s="6" t="s">
        <v>50</v>
      </c>
      <c r="D30" s="7">
        <f t="shared" ref="D30:AE30" si="12">D26+D29+D16+D17</f>
        <v>0</v>
      </c>
      <c r="E30" s="7">
        <f t="shared" si="12"/>
        <v>0</v>
      </c>
      <c r="F30" s="7">
        <f t="shared" si="12"/>
        <v>128.47999999999999</v>
      </c>
      <c r="G30" s="7">
        <f t="shared" si="12"/>
        <v>129.21</v>
      </c>
      <c r="H30" s="7">
        <f t="shared" si="12"/>
        <v>122.64395499999999</v>
      </c>
      <c r="I30" s="7">
        <f t="shared" ref="I30:AA30" si="13">I26+I29+I16+I17</f>
        <v>297.17950000000002</v>
      </c>
      <c r="J30" s="7">
        <f t="shared" si="13"/>
        <v>505.23351799999995</v>
      </c>
      <c r="K30" s="7">
        <f t="shared" si="13"/>
        <v>702.05737799999997</v>
      </c>
      <c r="L30" s="7">
        <f t="shared" si="13"/>
        <v>768.5445749999999</v>
      </c>
      <c r="M30" s="7">
        <f t="shared" si="13"/>
        <v>762.126126</v>
      </c>
      <c r="N30" s="7">
        <f t="shared" si="13"/>
        <v>824.11462900000004</v>
      </c>
      <c r="O30" s="7">
        <f t="shared" si="13"/>
        <v>1202.8572570000001</v>
      </c>
      <c r="P30" s="7">
        <f t="shared" si="13"/>
        <v>1597.957416</v>
      </c>
      <c r="Q30" s="7">
        <f t="shared" si="13"/>
        <v>2792.2004109999998</v>
      </c>
      <c r="R30" s="7">
        <f t="shared" si="13"/>
        <v>2362.521362</v>
      </c>
      <c r="S30" s="7">
        <f t="shared" si="13"/>
        <v>3103.7428120000004</v>
      </c>
      <c r="T30" s="7">
        <f t="shared" si="13"/>
        <v>1421.9138010000001</v>
      </c>
      <c r="U30" s="7">
        <f t="shared" si="13"/>
        <v>1307.3830929999999</v>
      </c>
      <c r="V30" s="7">
        <f t="shared" si="13"/>
        <v>1256.2845259999999</v>
      </c>
      <c r="W30" s="7">
        <f t="shared" si="13"/>
        <v>2012.0070000000003</v>
      </c>
      <c r="X30" s="7">
        <f t="shared" si="13"/>
        <v>1968.153</v>
      </c>
      <c r="Y30" s="7">
        <f t="shared" si="13"/>
        <v>2296.962</v>
      </c>
      <c r="Z30" s="7">
        <f t="shared" si="13"/>
        <v>1862.7790000000002</v>
      </c>
      <c r="AA30" s="7">
        <f t="shared" si="13"/>
        <v>2344.3420000000001</v>
      </c>
      <c r="AB30" s="7">
        <f t="shared" si="12"/>
        <v>2017.3589000000002</v>
      </c>
      <c r="AC30" s="7">
        <f t="shared" si="12"/>
        <v>2395.2062999999998</v>
      </c>
      <c r="AD30" s="7">
        <f t="shared" si="12"/>
        <v>2271.8432399999997</v>
      </c>
      <c r="AE30" s="7">
        <f t="shared" si="12"/>
        <v>2310.5320000000002</v>
      </c>
      <c r="AF30" s="1"/>
      <c r="AG30" s="1"/>
    </row>
    <row r="31" spans="1:33" x14ac:dyDescent="0.3">
      <c r="A31" s="1" t="s">
        <v>70</v>
      </c>
      <c r="B31" s="2" t="s">
        <v>32</v>
      </c>
      <c r="C31" s="1" t="s">
        <v>51</v>
      </c>
      <c r="D31" s="30" t="e">
        <f t="shared" ref="D31:AE31" si="14">D30/D7</f>
        <v>#DIV/0!</v>
      </c>
      <c r="E31" s="30" t="e">
        <f t="shared" si="14"/>
        <v>#DIV/0!</v>
      </c>
      <c r="F31" s="30" t="e">
        <f t="shared" si="14"/>
        <v>#DIV/0!</v>
      </c>
      <c r="G31" s="30" t="e">
        <f t="shared" si="14"/>
        <v>#DIV/0!</v>
      </c>
      <c r="H31" s="30">
        <f t="shared" si="14"/>
        <v>5.8155315871242284</v>
      </c>
      <c r="I31" s="30">
        <f t="shared" ref="I31:AA31" si="15">I30/I7</f>
        <v>9.9689221231578919</v>
      </c>
      <c r="J31" s="30">
        <f t="shared" si="15"/>
        <v>11.701608806567195</v>
      </c>
      <c r="K31" s="30">
        <f t="shared" si="15"/>
        <v>6.6129879545885748</v>
      </c>
      <c r="L31" s="30">
        <f t="shared" si="15"/>
        <v>8.0162248472285853</v>
      </c>
      <c r="M31" s="30">
        <f t="shared" si="15"/>
        <v>6.5172436970340311</v>
      </c>
      <c r="N31" s="30">
        <f t="shared" si="15"/>
        <v>6.5308710920303072</v>
      </c>
      <c r="O31" s="30">
        <f t="shared" si="15"/>
        <v>8.1350473763810474</v>
      </c>
      <c r="P31" s="30">
        <f t="shared" si="15"/>
        <v>11.729133731579108</v>
      </c>
      <c r="Q31" s="30">
        <f t="shared" si="15"/>
        <v>11.675095328548432</v>
      </c>
      <c r="R31" s="30">
        <f t="shared" si="15"/>
        <v>7.9731075807061194</v>
      </c>
      <c r="S31" s="30">
        <f t="shared" si="15"/>
        <v>10.410211138219518</v>
      </c>
      <c r="T31" s="30">
        <f t="shared" si="15"/>
        <v>6.5187786176600842</v>
      </c>
      <c r="U31" s="30">
        <f t="shared" si="15"/>
        <v>5.0172168209691863</v>
      </c>
      <c r="V31" s="30">
        <f t="shared" si="15"/>
        <v>4.7853146342940418</v>
      </c>
      <c r="W31" s="30">
        <f t="shared" si="15"/>
        <v>5.8217289780470667</v>
      </c>
      <c r="X31" s="30">
        <f t="shared" si="15"/>
        <v>4.8958055561083365</v>
      </c>
      <c r="Y31" s="30">
        <f t="shared" si="15"/>
        <v>9.4520517505308383</v>
      </c>
      <c r="Z31" s="30">
        <f t="shared" si="15"/>
        <v>5.5119958573753518</v>
      </c>
      <c r="AA31" s="30">
        <f t="shared" si="15"/>
        <v>5.7922172258733999</v>
      </c>
      <c r="AB31" s="30">
        <f t="shared" si="14"/>
        <v>4.9324178484107586</v>
      </c>
      <c r="AC31" s="30">
        <f t="shared" si="14"/>
        <v>5.7028721428571423</v>
      </c>
      <c r="AD31" s="30">
        <f t="shared" si="14"/>
        <v>5.9785348421052626</v>
      </c>
      <c r="AE31" s="30">
        <f t="shared" si="14"/>
        <v>6.2423191224941919</v>
      </c>
      <c r="AF31" s="1"/>
      <c r="AG31" s="1"/>
    </row>
    <row r="32" spans="1:33" x14ac:dyDescent="0.3">
      <c r="A32" s="18" t="s">
        <v>72</v>
      </c>
      <c r="B32" s="17" t="s">
        <v>33</v>
      </c>
      <c r="C32" s="6" t="s">
        <v>109</v>
      </c>
      <c r="D32" s="27" t="e">
        <f t="shared" ref="D32:AB32" si="16">D7/D6</f>
        <v>#DIV/0!</v>
      </c>
      <c r="E32" s="27" t="e">
        <f t="shared" si="16"/>
        <v>#DIV/0!</v>
      </c>
      <c r="F32" s="27" t="e">
        <f t="shared" si="16"/>
        <v>#DIV/0!</v>
      </c>
      <c r="G32" s="27" t="e">
        <f t="shared" si="16"/>
        <v>#DIV/0!</v>
      </c>
      <c r="H32" s="27">
        <f t="shared" si="16"/>
        <v>5.0127088912846458E-2</v>
      </c>
      <c r="I32" s="27">
        <f t="shared" ref="I32:AA32" si="17">I7/I6</f>
        <v>6.8406093422501035E-2</v>
      </c>
      <c r="J32" s="27">
        <f t="shared" si="17"/>
        <v>8.7067587503087629E-2</v>
      </c>
      <c r="K32" s="27">
        <f t="shared" si="17"/>
        <v>0.12218972863125577</v>
      </c>
      <c r="L32" s="27">
        <f t="shared" si="17"/>
        <v>0.10943139662211115</v>
      </c>
      <c r="M32" s="27">
        <f t="shared" si="17"/>
        <v>0.1163203027455017</v>
      </c>
      <c r="N32" s="27">
        <f t="shared" si="17"/>
        <v>0.10368437323922537</v>
      </c>
      <c r="O32" s="27">
        <f t="shared" si="17"/>
        <v>0.1030149692402889</v>
      </c>
      <c r="P32" s="27">
        <f t="shared" si="17"/>
        <v>9.749177467738937E-2</v>
      </c>
      <c r="Q32" s="27">
        <f t="shared" si="17"/>
        <v>0.15583366148762798</v>
      </c>
      <c r="R32" s="27">
        <f t="shared" si="17"/>
        <v>0.14931371435535243</v>
      </c>
      <c r="S32" s="27">
        <f t="shared" si="17"/>
        <v>0.12993365596100612</v>
      </c>
      <c r="T32" s="27">
        <f t="shared" si="17"/>
        <v>0.10258424103616748</v>
      </c>
      <c r="U32" s="27">
        <f t="shared" si="17"/>
        <v>0.11478359503334504</v>
      </c>
      <c r="V32" s="27">
        <f t="shared" si="17"/>
        <v>0.11285945772017948</v>
      </c>
      <c r="W32" s="27">
        <f t="shared" si="17"/>
        <v>0.14551074206044959</v>
      </c>
      <c r="X32" s="27">
        <f t="shared" si="17"/>
        <v>0.16857780612512333</v>
      </c>
      <c r="Y32" s="27">
        <f t="shared" si="17"/>
        <v>9.9855360694268674E-2</v>
      </c>
      <c r="Z32" s="27">
        <f t="shared" si="17"/>
        <v>0.1529129475345021</v>
      </c>
      <c r="AA32" s="27">
        <f t="shared" si="17"/>
        <v>0.15583141531147418</v>
      </c>
      <c r="AB32" s="27">
        <f t="shared" si="16"/>
        <v>0.14513839602555004</v>
      </c>
      <c r="AC32" s="27">
        <f t="shared" ref="AC32:AF32" si="18">AC7/AC6</f>
        <v>0.14856738592147153</v>
      </c>
      <c r="AD32" s="27">
        <f t="shared" si="18"/>
        <v>0.15644298065047343</v>
      </c>
      <c r="AE32" s="27">
        <f t="shared" si="18"/>
        <v>0.14770151636073423</v>
      </c>
      <c r="AF32" s="27">
        <f t="shared" si="18"/>
        <v>0.14896836808051761</v>
      </c>
      <c r="AG32" s="1"/>
    </row>
    <row r="33" spans="1:33" x14ac:dyDescent="0.3">
      <c r="A33" s="16" t="s">
        <v>73</v>
      </c>
      <c r="B33" s="2" t="s">
        <v>34</v>
      </c>
      <c r="C33" s="1" t="s">
        <v>110</v>
      </c>
      <c r="D33" s="28" t="e">
        <f t="shared" ref="D33:AB33" si="19">D8/D6</f>
        <v>#DIV/0!</v>
      </c>
      <c r="E33" s="28" t="e">
        <f t="shared" si="19"/>
        <v>#DIV/0!</v>
      </c>
      <c r="F33" s="28" t="e">
        <f t="shared" si="19"/>
        <v>#DIV/0!</v>
      </c>
      <c r="G33" s="28" t="e">
        <f t="shared" si="19"/>
        <v>#DIV/0!</v>
      </c>
      <c r="H33" s="28">
        <f t="shared" si="19"/>
        <v>8.9577470767874326E-3</v>
      </c>
      <c r="I33" s="28">
        <f t="shared" ref="I33:AA33" si="20">I8/I6</f>
        <v>9.2127239953666527E-3</v>
      </c>
      <c r="J33" s="28">
        <f t="shared" si="20"/>
        <v>4.0609347309778464E-2</v>
      </c>
      <c r="K33" s="28">
        <f t="shared" si="20"/>
        <v>6.2108336591371938E-2</v>
      </c>
      <c r="L33" s="28">
        <f t="shared" si="20"/>
        <v>5.4854665329814978E-2</v>
      </c>
      <c r="M33" s="28">
        <f t="shared" si="20"/>
        <v>5.6955470758185904E-2</v>
      </c>
      <c r="N33" s="28">
        <f t="shared" si="20"/>
        <v>5.8944869593043805E-2</v>
      </c>
      <c r="O33" s="28">
        <f t="shared" si="20"/>
        <v>6.4578076838747722E-2</v>
      </c>
      <c r="P33" s="28">
        <f t="shared" si="20"/>
        <v>6.0248772031043174E-2</v>
      </c>
      <c r="Q33" s="28">
        <f t="shared" si="20"/>
        <v>9.6556926454514552E-2</v>
      </c>
      <c r="R33" s="28">
        <f t="shared" si="20"/>
        <v>9.7123473138024816E-2</v>
      </c>
      <c r="S33" s="28">
        <f t="shared" si="20"/>
        <v>7.5115135893284404E-2</v>
      </c>
      <c r="T33" s="28">
        <f t="shared" si="20"/>
        <v>6.1959954063102902E-2</v>
      </c>
      <c r="U33" s="28">
        <f t="shared" si="20"/>
        <v>7.46125537641769E-2</v>
      </c>
      <c r="V33" s="28">
        <f t="shared" si="20"/>
        <v>7.3589265935220208E-2</v>
      </c>
      <c r="W33" s="28">
        <f t="shared" si="20"/>
        <v>0.10225914412974932</v>
      </c>
      <c r="X33" s="28">
        <f t="shared" si="20"/>
        <v>0.11433163794401231</v>
      </c>
      <c r="Y33" s="28">
        <f t="shared" si="20"/>
        <v>3.6676747587975213E-2</v>
      </c>
      <c r="Z33" s="28">
        <f t="shared" si="20"/>
        <v>3.6588251742809427E-2</v>
      </c>
      <c r="AA33" s="28">
        <f t="shared" si="20"/>
        <v>7.1663431248060488E-2</v>
      </c>
      <c r="AB33" s="28">
        <f t="shared" si="19"/>
        <v>7.1682044002838896E-2</v>
      </c>
      <c r="AC33" s="28">
        <f t="shared" ref="AC33:AF33" si="21">AC8/AC6</f>
        <v>6.2256809338521402E-2</v>
      </c>
      <c r="AD33" s="28">
        <f t="shared" si="21"/>
        <v>5.9283655825442566E-2</v>
      </c>
      <c r="AE33" s="28">
        <f t="shared" si="21"/>
        <v>5.9297685554668793E-2</v>
      </c>
      <c r="AF33" s="28">
        <f t="shared" si="21"/>
        <v>6.4751976994967639E-2</v>
      </c>
      <c r="AG33" s="1"/>
    </row>
    <row r="34" spans="1:33" x14ac:dyDescent="0.3">
      <c r="A34" s="18" t="s">
        <v>74</v>
      </c>
      <c r="B34" s="17" t="s">
        <v>35</v>
      </c>
      <c r="C34" s="6" t="s">
        <v>54</v>
      </c>
      <c r="D34" s="27" t="e">
        <f t="shared" ref="D34:AB34" si="22">D11/D10</f>
        <v>#DIV/0!</v>
      </c>
      <c r="E34" s="27" t="e">
        <f t="shared" si="22"/>
        <v>#DIV/0!</v>
      </c>
      <c r="F34" s="27" t="e">
        <f t="shared" si="22"/>
        <v>#DIV/0!</v>
      </c>
      <c r="G34" s="27" t="e">
        <f t="shared" si="22"/>
        <v>#DIV/0!</v>
      </c>
      <c r="H34" s="27">
        <f t="shared" si="22"/>
        <v>38.621211879097899</v>
      </c>
      <c r="I34" s="27">
        <f t="shared" ref="I34:AA34" si="23">I11/I10</f>
        <v>26.850242051732053</v>
      </c>
      <c r="J34" s="27">
        <f t="shared" si="23"/>
        <v>0.14313898276070527</v>
      </c>
      <c r="K34" s="27">
        <f t="shared" si="23"/>
        <v>0.13245075069932671</v>
      </c>
      <c r="L34" s="27">
        <f t="shared" si="23"/>
        <v>9.6377627584122327E-2</v>
      </c>
      <c r="M34" s="27">
        <f t="shared" si="23"/>
        <v>0.15463280954648959</v>
      </c>
      <c r="N34" s="27">
        <f t="shared" si="23"/>
        <v>0.33241294850676784</v>
      </c>
      <c r="O34" s="27">
        <f t="shared" si="23"/>
        <v>0.39283216059267884</v>
      </c>
      <c r="P34" s="27">
        <f t="shared" si="23"/>
        <v>1.3699131525519446</v>
      </c>
      <c r="Q34" s="27">
        <f t="shared" si="23"/>
        <v>0.44542936697854757</v>
      </c>
      <c r="R34" s="27">
        <f t="shared" si="23"/>
        <v>0.29586975479555888</v>
      </c>
      <c r="S34" s="27">
        <f t="shared" si="23"/>
        <v>0.25643413168080992</v>
      </c>
      <c r="T34" s="27">
        <f t="shared" si="23"/>
        <v>0.21475139541466176</v>
      </c>
      <c r="U34" s="27">
        <f t="shared" si="23"/>
        <v>0.21456684862083211</v>
      </c>
      <c r="V34" s="27">
        <f t="shared" si="23"/>
        <v>0.33353457188141639</v>
      </c>
      <c r="W34" s="27">
        <f t="shared" si="23"/>
        <v>0.34556375848855619</v>
      </c>
      <c r="X34" s="27">
        <f t="shared" si="23"/>
        <v>0.32300459537854836</v>
      </c>
      <c r="Y34" s="27">
        <f t="shared" si="23"/>
        <v>0.46692503553424064</v>
      </c>
      <c r="Z34" s="27">
        <f t="shared" si="23"/>
        <v>0.12198579715422835</v>
      </c>
      <c r="AA34" s="27">
        <f t="shared" si="23"/>
        <v>0.31598459209120056</v>
      </c>
      <c r="AB34" s="27">
        <f t="shared" si="22"/>
        <v>0.46705185185185183</v>
      </c>
      <c r="AC34" s="27">
        <f t="shared" ref="AC34:AF34" si="24">AC11/AC10</f>
        <v>0.37142857142857139</v>
      </c>
      <c r="AD34" s="27">
        <f t="shared" si="24"/>
        <v>0.69447708578143363</v>
      </c>
      <c r="AE34" s="27">
        <f t="shared" si="24"/>
        <v>0.16438356164383561</v>
      </c>
      <c r="AF34" s="27">
        <f t="shared" si="24"/>
        <v>0.27972027972027974</v>
      </c>
      <c r="AG34" s="1"/>
    </row>
    <row r="35" spans="1:33" x14ac:dyDescent="0.3">
      <c r="A35" s="16" t="s">
        <v>75</v>
      </c>
      <c r="B35" s="2" t="s">
        <v>36</v>
      </c>
      <c r="C35" s="1" t="s">
        <v>108</v>
      </c>
      <c r="D35" s="28" t="e">
        <f t="shared" ref="D35:AB35" si="25">D12/D6</f>
        <v>#DIV/0!</v>
      </c>
      <c r="E35" s="28" t="e">
        <f t="shared" si="25"/>
        <v>#DIV/0!</v>
      </c>
      <c r="F35" s="28" t="e">
        <f t="shared" si="25"/>
        <v>#DIV/0!</v>
      </c>
      <c r="G35" s="28" t="e">
        <f t="shared" si="25"/>
        <v>#DIV/0!</v>
      </c>
      <c r="H35" s="28">
        <f t="shared" si="25"/>
        <v>2.3944242628197127E-2</v>
      </c>
      <c r="I35" s="28">
        <f t="shared" ref="I35:AA35" si="26">I12/I6</f>
        <v>2.059547956498815E-2</v>
      </c>
      <c r="J35" s="28">
        <f t="shared" si="26"/>
        <v>1.3110761201737093E-2</v>
      </c>
      <c r="K35" s="28">
        <f t="shared" si="26"/>
        <v>2.26810439912867E-2</v>
      </c>
      <c r="L35" s="28">
        <f t="shared" si="26"/>
        <v>2.2100323917111149E-2</v>
      </c>
      <c r="M35" s="28">
        <f t="shared" si="26"/>
        <v>1.5301432610522147E-2</v>
      </c>
      <c r="N35" s="28">
        <f t="shared" si="26"/>
        <v>2.297733193926595E-2</v>
      </c>
      <c r="O35" s="28">
        <f t="shared" si="26"/>
        <v>2.6151328401363045E-2</v>
      </c>
      <c r="P35" s="28">
        <f t="shared" si="26"/>
        <v>2.6931189996814896E-2</v>
      </c>
      <c r="Q35" s="28">
        <f t="shared" si="26"/>
        <v>7.0205808844729503E-2</v>
      </c>
      <c r="R35" s="28">
        <f t="shared" si="26"/>
        <v>2.0040276459394591E-2</v>
      </c>
      <c r="S35" s="28">
        <f t="shared" si="26"/>
        <v>3.4826380819974391E-2</v>
      </c>
      <c r="T35" s="28">
        <f t="shared" si="26"/>
        <v>3.2571317905349326E-2</v>
      </c>
      <c r="U35" s="28">
        <f t="shared" si="26"/>
        <v>3.1309569659792258E-2</v>
      </c>
      <c r="V35" s="28">
        <f t="shared" si="26"/>
        <v>3.1814898425817077E-2</v>
      </c>
      <c r="W35" s="28">
        <f t="shared" si="26"/>
        <v>3.724806882059431E-2</v>
      </c>
      <c r="X35" s="28">
        <f t="shared" si="26"/>
        <v>3.4842494012881267E-2</v>
      </c>
      <c r="Y35" s="28">
        <f t="shared" si="26"/>
        <v>2.1420998997386632E-2</v>
      </c>
      <c r="Z35" s="28">
        <f t="shared" si="26"/>
        <v>2.2696000734814693E-2</v>
      </c>
      <c r="AA35" s="28">
        <f t="shared" si="26"/>
        <v>6.1140556286658351E-4</v>
      </c>
      <c r="AB35" s="28">
        <f t="shared" si="25"/>
        <v>8.378282469836764E-3</v>
      </c>
      <c r="AC35" s="28">
        <f t="shared" ref="AC35:AF35" si="27">AC12/AC6</f>
        <v>9.4552529182879378E-3</v>
      </c>
      <c r="AD35" s="28">
        <f t="shared" si="27"/>
        <v>-8.2338410868670227E-3</v>
      </c>
      <c r="AE35" s="28">
        <f t="shared" si="27"/>
        <v>2.7545889864325616E-3</v>
      </c>
      <c r="AF35" s="28">
        <f t="shared" si="27"/>
        <v>6.9554277498202737E-3</v>
      </c>
      <c r="AG35" s="1"/>
    </row>
    <row r="36" spans="1:33" x14ac:dyDescent="0.3">
      <c r="A36" s="18" t="s">
        <v>76</v>
      </c>
      <c r="B36" s="17" t="s">
        <v>37</v>
      </c>
      <c r="C36" s="6" t="s">
        <v>56</v>
      </c>
      <c r="D36" s="29" t="e">
        <f t="shared" ref="D36:G36" si="28">D26/D12</f>
        <v>#DIV/0!</v>
      </c>
      <c r="E36" s="29" t="e">
        <f t="shared" si="28"/>
        <v>#DIV/0!</v>
      </c>
      <c r="F36" s="29" t="e">
        <f t="shared" si="28"/>
        <v>#DIV/0!</v>
      </c>
      <c r="G36" s="29" t="e">
        <f t="shared" si="28"/>
        <v>#DIV/0!</v>
      </c>
      <c r="H36" s="29">
        <f t="shared" ref="H36:AB36" si="29">IF(H26/H12&lt;0,0,H26/H12)</f>
        <v>8.4061183596951032</v>
      </c>
      <c r="I36" s="29">
        <f t="shared" si="29"/>
        <v>16.792800220606054</v>
      </c>
      <c r="J36" s="29">
        <f t="shared" si="29"/>
        <v>23.354373392502666</v>
      </c>
      <c r="K36" s="29">
        <f t="shared" si="29"/>
        <v>14.563933256589355</v>
      </c>
      <c r="L36" s="29">
        <f t="shared" si="29"/>
        <v>15.775540985625017</v>
      </c>
      <c r="M36" s="29">
        <f t="shared" si="29"/>
        <v>19.366904020452782</v>
      </c>
      <c r="N36" s="29">
        <f t="shared" si="29"/>
        <v>13.87773078360903</v>
      </c>
      <c r="O36" s="29">
        <f t="shared" si="29"/>
        <v>17.05698091943907</v>
      </c>
      <c r="P36" s="29">
        <f t="shared" si="29"/>
        <v>26.905589620433705</v>
      </c>
      <c r="Q36" s="29">
        <f t="shared" si="29"/>
        <v>9.3138257539793088</v>
      </c>
      <c r="R36" s="29">
        <f t="shared" si="29"/>
        <v>11.522596244983898</v>
      </c>
      <c r="S36" s="29">
        <f t="shared" si="29"/>
        <v>9.6094260296627461</v>
      </c>
      <c r="T36" s="29">
        <f t="shared" si="29"/>
        <v>4.8824454325624123</v>
      </c>
      <c r="U36" s="29">
        <f t="shared" si="29"/>
        <v>2.8249112574226016</v>
      </c>
      <c r="V36" s="29">
        <f t="shared" si="29"/>
        <v>4.1077181031259951</v>
      </c>
      <c r="W36" s="29">
        <f t="shared" si="29"/>
        <v>9.4798345164353215</v>
      </c>
      <c r="X36" s="29">
        <f t="shared" si="29"/>
        <v>6.5653094874171067</v>
      </c>
      <c r="Y36" s="29">
        <f t="shared" si="29"/>
        <v>8.7145844123458218</v>
      </c>
      <c r="Z36" s="29">
        <f t="shared" si="29"/>
        <v>7.5107655502392348</v>
      </c>
      <c r="AA36" s="29">
        <f t="shared" si="29"/>
        <v>539.76196473551636</v>
      </c>
      <c r="AB36" s="29">
        <f t="shared" si="29"/>
        <v>16.194786107581535</v>
      </c>
      <c r="AC36" s="29">
        <f t="shared" ref="AC36:AF36" si="30">IF(AC26/AC12&lt;0,0,AC26/AC12)</f>
        <v>16.614526748971194</v>
      </c>
      <c r="AD36" s="29">
        <f t="shared" si="30"/>
        <v>0</v>
      </c>
      <c r="AE36" s="29">
        <f t="shared" si="30"/>
        <v>56.748080544690723</v>
      </c>
      <c r="AF36" s="29">
        <f t="shared" si="30"/>
        <v>20.18108527131783</v>
      </c>
      <c r="AG36" s="1"/>
    </row>
    <row r="37" spans="1:33" x14ac:dyDescent="0.3">
      <c r="A37" s="16" t="s">
        <v>77</v>
      </c>
      <c r="B37" s="2" t="s">
        <v>38</v>
      </c>
      <c r="C37" s="1" t="s">
        <v>57</v>
      </c>
      <c r="D37" s="30" t="e">
        <f t="shared" ref="D37:AD37" si="31">D26/D23</f>
        <v>#DIV/0!</v>
      </c>
      <c r="E37" s="30" t="e">
        <f t="shared" si="31"/>
        <v>#DIV/0!</v>
      </c>
      <c r="F37" s="30" t="e">
        <f t="shared" si="31"/>
        <v>#DIV/0!</v>
      </c>
      <c r="G37" s="30" t="e">
        <f t="shared" si="31"/>
        <v>#DIV/0!</v>
      </c>
      <c r="H37" s="30">
        <f t="shared" si="31"/>
        <v>1.0027360911812511</v>
      </c>
      <c r="I37" s="30">
        <f t="shared" ref="I37:AA37" si="32">I26/I23</f>
        <v>1.581741879601968</v>
      </c>
      <c r="J37" s="30">
        <f t="shared" si="32"/>
        <v>0.58206364439677272</v>
      </c>
      <c r="K37" s="30">
        <f t="shared" si="32"/>
        <v>1.0459832533780578</v>
      </c>
      <c r="L37" s="30">
        <f t="shared" si="32"/>
        <v>1.2645642654747518</v>
      </c>
      <c r="M37" s="30">
        <f t="shared" si="32"/>
        <v>1.3132621572162939</v>
      </c>
      <c r="N37" s="30">
        <f t="shared" si="32"/>
        <v>1.5024501226280835</v>
      </c>
      <c r="O37" s="30">
        <f t="shared" si="32"/>
        <v>2.0123922185594045</v>
      </c>
      <c r="P37" s="30">
        <f t="shared" si="32"/>
        <v>3.3331051420212434</v>
      </c>
      <c r="Q37" s="30">
        <f t="shared" si="32"/>
        <v>2.5935694761559533</v>
      </c>
      <c r="R37" s="30">
        <f t="shared" si="32"/>
        <v>1.3425932155877471</v>
      </c>
      <c r="S37" s="30">
        <f t="shared" si="32"/>
        <v>2.0418180807015336</v>
      </c>
      <c r="T37" s="30">
        <f t="shared" si="32"/>
        <v>0.7033929046297992</v>
      </c>
      <c r="U37" s="30">
        <f t="shared" si="32"/>
        <v>0.48403591970317783</v>
      </c>
      <c r="V37" s="30">
        <f t="shared" si="32"/>
        <v>0.6972734810482516</v>
      </c>
      <c r="W37" s="30">
        <f t="shared" si="32"/>
        <v>1.4996834911109285</v>
      </c>
      <c r="X37" s="30">
        <f t="shared" si="32"/>
        <v>0.94379987127760423</v>
      </c>
      <c r="Y37" s="30">
        <f t="shared" si="32"/>
        <v>1.2304983748645721</v>
      </c>
      <c r="Z37" s="30">
        <f t="shared" si="32"/>
        <v>1.1426751592356688</v>
      </c>
      <c r="AA37" s="30">
        <f t="shared" si="32"/>
        <v>2.791084337349397</v>
      </c>
      <c r="AB37" s="30">
        <f t="shared" si="31"/>
        <v>2.1614409270774453</v>
      </c>
      <c r="AC37" s="30">
        <f t="shared" si="31"/>
        <v>5.8205281782437757</v>
      </c>
      <c r="AD37" s="30">
        <f t="shared" si="31"/>
        <v>-3.5625647855530476</v>
      </c>
      <c r="AE37" s="30">
        <f t="shared" ref="AE37" si="33">AE26/AE23</f>
        <v>6.0733643410852718</v>
      </c>
      <c r="AF37" s="1"/>
      <c r="AG37" s="1"/>
    </row>
    <row r="38" spans="1:33" x14ac:dyDescent="0.3">
      <c r="A38" s="18" t="s">
        <v>78</v>
      </c>
      <c r="B38" s="17" t="s">
        <v>39</v>
      </c>
      <c r="C38" s="6" t="s">
        <v>106</v>
      </c>
      <c r="D38" s="55" t="e">
        <f t="shared" ref="D38:AD38" si="34">D8/D23</f>
        <v>#DIV/0!</v>
      </c>
      <c r="E38" s="55" t="e">
        <f t="shared" si="34"/>
        <v>#DIV/0!</v>
      </c>
      <c r="F38" s="55" t="e">
        <f t="shared" si="34"/>
        <v>#DIV/0!</v>
      </c>
      <c r="G38" s="55" t="e">
        <f t="shared" si="34"/>
        <v>#DIV/0!</v>
      </c>
      <c r="H38" s="55">
        <f t="shared" si="34"/>
        <v>4.4626090037364598E-2</v>
      </c>
      <c r="I38" s="55">
        <f t="shared" ref="I38:AA38" si="35">I8/I23</f>
        <v>4.2133607339609754E-2</v>
      </c>
      <c r="J38" s="55">
        <f t="shared" si="35"/>
        <v>7.7196988185580045E-2</v>
      </c>
      <c r="K38" s="55">
        <f t="shared" si="35"/>
        <v>0.19666764094965103</v>
      </c>
      <c r="L38" s="55">
        <f t="shared" si="35"/>
        <v>0.19896265820591133</v>
      </c>
      <c r="M38" s="55">
        <f t="shared" si="35"/>
        <v>0.25240304008552</v>
      </c>
      <c r="N38" s="55">
        <f t="shared" si="35"/>
        <v>0.27773334074802219</v>
      </c>
      <c r="O38" s="55">
        <f t="shared" si="35"/>
        <v>0.2913411422533107</v>
      </c>
      <c r="P38" s="55">
        <f t="shared" si="35"/>
        <v>0.27713996365777127</v>
      </c>
      <c r="Q38" s="55">
        <f t="shared" si="35"/>
        <v>0.38298358787571091</v>
      </c>
      <c r="R38" s="55">
        <f t="shared" si="35"/>
        <v>0.56469585496838426</v>
      </c>
      <c r="S38" s="55">
        <f t="shared" si="35"/>
        <v>0.45828823656996553</v>
      </c>
      <c r="T38" s="55">
        <f t="shared" si="35"/>
        <v>0.27405412326974904</v>
      </c>
      <c r="U38" s="55">
        <f t="shared" si="35"/>
        <v>0.40832652093576727</v>
      </c>
      <c r="V38" s="55">
        <f t="shared" si="35"/>
        <v>0.39263268149417013</v>
      </c>
      <c r="W38" s="55">
        <f t="shared" si="35"/>
        <v>0.43430741775239351</v>
      </c>
      <c r="X38" s="55">
        <f t="shared" si="35"/>
        <v>0.47171740589770023</v>
      </c>
      <c r="Y38" s="55">
        <f t="shared" si="35"/>
        <v>0.24176056338028168</v>
      </c>
      <c r="Z38" s="55">
        <f t="shared" si="35"/>
        <v>0.24526235972095844</v>
      </c>
      <c r="AA38" s="55">
        <f t="shared" si="35"/>
        <v>0.60609247802018884</v>
      </c>
      <c r="AB38" s="55">
        <f t="shared" si="34"/>
        <v>1.141888072357264</v>
      </c>
      <c r="AC38" s="55">
        <f t="shared" si="34"/>
        <v>2.3066841415465271</v>
      </c>
      <c r="AD38" s="55">
        <f t="shared" si="34"/>
        <v>-1.6252821670428894</v>
      </c>
      <c r="AE38" s="55">
        <f t="shared" ref="AE38" si="36">AE8/AE23</f>
        <v>2.3038759689922479</v>
      </c>
      <c r="AF38" s="1"/>
      <c r="AG38" s="1"/>
    </row>
    <row r="39" spans="1:33" x14ac:dyDescent="0.3">
      <c r="A39" s="16" t="s">
        <v>79</v>
      </c>
      <c r="B39" s="2" t="s">
        <v>40</v>
      </c>
      <c r="C39" s="1" t="s">
        <v>107</v>
      </c>
      <c r="D39" s="56" t="e">
        <f t="shared" ref="D39:AD39" si="37">D12/D23</f>
        <v>#DIV/0!</v>
      </c>
      <c r="E39" s="56" t="e">
        <f t="shared" si="37"/>
        <v>#DIV/0!</v>
      </c>
      <c r="F39" s="56" t="e">
        <f t="shared" si="37"/>
        <v>#DIV/0!</v>
      </c>
      <c r="G39" s="56" t="e">
        <f t="shared" si="37"/>
        <v>#DIV/0!</v>
      </c>
      <c r="H39" s="56">
        <f t="shared" si="37"/>
        <v>0.11928645877615517</v>
      </c>
      <c r="I39" s="56">
        <f t="shared" ref="I39:AA39" si="38">I12/I23</f>
        <v>9.4191668978533399E-2</v>
      </c>
      <c r="J39" s="56">
        <f t="shared" si="38"/>
        <v>2.4923111171273365E-2</v>
      </c>
      <c r="K39" s="56">
        <f t="shared" si="38"/>
        <v>7.1820107586994711E-2</v>
      </c>
      <c r="L39" s="56">
        <f t="shared" si="38"/>
        <v>8.015980349751857E-2</v>
      </c>
      <c r="M39" s="56">
        <f t="shared" si="38"/>
        <v>6.7809607350219681E-2</v>
      </c>
      <c r="N39" s="56">
        <f t="shared" si="38"/>
        <v>0.10826338585574996</v>
      </c>
      <c r="O39" s="56">
        <f t="shared" si="38"/>
        <v>0.11798056338715676</v>
      </c>
      <c r="P39" s="56">
        <f t="shared" si="38"/>
        <v>0.12388151269094974</v>
      </c>
      <c r="Q39" s="56">
        <f t="shared" si="38"/>
        <v>0.27846446182953954</v>
      </c>
      <c r="R39" s="56">
        <f t="shared" si="38"/>
        <v>0.11651829041325774</v>
      </c>
      <c r="S39" s="56">
        <f t="shared" si="38"/>
        <v>0.21248075321031362</v>
      </c>
      <c r="T39" s="56">
        <f t="shared" si="38"/>
        <v>0.14406569706620223</v>
      </c>
      <c r="U39" s="56">
        <f t="shared" si="38"/>
        <v>0.17134553109636566</v>
      </c>
      <c r="V39" s="56">
        <f t="shared" si="38"/>
        <v>0.16974715974731147</v>
      </c>
      <c r="W39" s="56">
        <f t="shared" si="38"/>
        <v>0.15819722258979377</v>
      </c>
      <c r="X39" s="56">
        <f t="shared" si="38"/>
        <v>0.14375557970061661</v>
      </c>
      <c r="Y39" s="56">
        <f t="shared" si="38"/>
        <v>0.14119989165763813</v>
      </c>
      <c r="Z39" s="56">
        <f t="shared" si="38"/>
        <v>0.15213830755232027</v>
      </c>
      <c r="AA39" s="56">
        <f t="shared" si="38"/>
        <v>5.1709540866167374E-3</v>
      </c>
      <c r="AB39" s="56">
        <f t="shared" si="37"/>
        <v>0.13346523459581683</v>
      </c>
      <c r="AC39" s="56">
        <f t="shared" si="37"/>
        <v>0.35032765399737881</v>
      </c>
      <c r="AD39" s="56">
        <f t="shared" si="37"/>
        <v>0.22573363431151244</v>
      </c>
      <c r="AE39" s="56">
        <f t="shared" ref="AE39" si="39">AE12/AE23</f>
        <v>0.10702325581395349</v>
      </c>
      <c r="AF39" s="1"/>
      <c r="AG39" s="1"/>
    </row>
    <row r="40" spans="1:33" x14ac:dyDescent="0.3">
      <c r="A40" s="18" t="s">
        <v>80</v>
      </c>
      <c r="B40" s="17" t="s">
        <v>41</v>
      </c>
      <c r="C40" s="6" t="s">
        <v>61</v>
      </c>
      <c r="D40" s="7">
        <f t="shared" ref="D40:AD40" si="40">D20-D19</f>
        <v>0</v>
      </c>
      <c r="E40" s="7">
        <f t="shared" si="40"/>
        <v>0</v>
      </c>
      <c r="F40" s="7">
        <f t="shared" si="40"/>
        <v>0</v>
      </c>
      <c r="G40" s="7">
        <f t="shared" si="40"/>
        <v>0</v>
      </c>
      <c r="H40" s="7">
        <f t="shared" si="40"/>
        <v>164.62625</v>
      </c>
      <c r="I40" s="7">
        <f t="shared" ref="I40:AA40" si="41">I20-I19</f>
        <v>7152.6821749999999</v>
      </c>
      <c r="J40" s="7">
        <f t="shared" si="41"/>
        <v>142.970617</v>
      </c>
      <c r="K40" s="7">
        <f t="shared" si="41"/>
        <v>-124.74579</v>
      </c>
      <c r="L40" s="7">
        <f t="shared" si="41"/>
        <v>-107.62731500000007</v>
      </c>
      <c r="M40" s="7">
        <f t="shared" si="41"/>
        <v>-54.144140000000107</v>
      </c>
      <c r="N40" s="7">
        <f t="shared" si="41"/>
        <v>-113.20185300000003</v>
      </c>
      <c r="O40" s="7">
        <f t="shared" si="41"/>
        <v>-23.47948800000006</v>
      </c>
      <c r="P40" s="7">
        <f t="shared" si="41"/>
        <v>154.46838500000001</v>
      </c>
      <c r="Q40" s="7">
        <f t="shared" si="41"/>
        <v>176.08224900000005</v>
      </c>
      <c r="R40" s="7">
        <f t="shared" si="41"/>
        <v>-6.4485409999999774</v>
      </c>
      <c r="S40" s="7">
        <f t="shared" si="41"/>
        <v>-143.0181520000001</v>
      </c>
      <c r="T40" s="7">
        <f t="shared" si="41"/>
        <v>-81.697194999999965</v>
      </c>
      <c r="U40" s="7">
        <f t="shared" si="41"/>
        <v>-116.96016000000031</v>
      </c>
      <c r="V40" s="7">
        <f t="shared" si="41"/>
        <v>-116.96016000000031</v>
      </c>
      <c r="W40" s="7">
        <f t="shared" si="41"/>
        <v>-4.0259999999998399</v>
      </c>
      <c r="X40" s="7">
        <f t="shared" si="41"/>
        <v>198.17500000000018</v>
      </c>
      <c r="Y40" s="7">
        <f t="shared" si="41"/>
        <v>-144.51500000000033</v>
      </c>
      <c r="Z40" s="7">
        <f t="shared" si="41"/>
        <v>107.96000000000004</v>
      </c>
      <c r="AA40" s="7">
        <f t="shared" si="41"/>
        <v>51.837999999999738</v>
      </c>
      <c r="AB40" s="7">
        <f t="shared" si="40"/>
        <v>-131.90000000000009</v>
      </c>
      <c r="AC40" s="7">
        <f t="shared" si="40"/>
        <v>-356.89999999999964</v>
      </c>
      <c r="AD40" s="7">
        <f t="shared" si="40"/>
        <v>-502.39999999999964</v>
      </c>
      <c r="AE40" s="7">
        <f t="shared" ref="AE40" si="42">AE20-AE19</f>
        <v>-258.5</v>
      </c>
      <c r="AF40" s="1"/>
      <c r="AG40" s="1"/>
    </row>
    <row r="41" spans="1:33" x14ac:dyDescent="0.3">
      <c r="A41" s="53" t="s">
        <v>96</v>
      </c>
      <c r="B41" s="49" t="s">
        <v>42</v>
      </c>
      <c r="C41" s="52" t="s">
        <v>98</v>
      </c>
      <c r="D41" s="30" t="e">
        <f t="shared" ref="D41:AD41" si="43">D20/D19</f>
        <v>#DIV/0!</v>
      </c>
      <c r="E41" s="30" t="e">
        <f t="shared" si="43"/>
        <v>#DIV/0!</v>
      </c>
      <c r="F41" s="30" t="e">
        <f t="shared" si="43"/>
        <v>#DIV/0!</v>
      </c>
      <c r="G41" s="30" t="e">
        <f t="shared" si="43"/>
        <v>#DIV/0!</v>
      </c>
      <c r="H41" s="30">
        <f t="shared" si="43"/>
        <v>2.1636370100696865</v>
      </c>
      <c r="I41" s="30">
        <f t="shared" si="43"/>
        <v>63.564985126269811</v>
      </c>
      <c r="J41" s="30">
        <f t="shared" si="43"/>
        <v>1.4026784708866342</v>
      </c>
      <c r="K41" s="30">
        <f t="shared" si="43"/>
        <v>0.74235584739854032</v>
      </c>
      <c r="L41" s="30">
        <f t="shared" si="43"/>
        <v>0.80411045096524469</v>
      </c>
      <c r="M41" s="30">
        <f t="shared" si="43"/>
        <v>0.90407683623972279</v>
      </c>
      <c r="N41" s="30">
        <f t="shared" si="43"/>
        <v>0.83948302349552462</v>
      </c>
      <c r="O41" s="30">
        <f t="shared" si="43"/>
        <v>0.9686306349926932</v>
      </c>
      <c r="P41" s="30">
        <f t="shared" si="43"/>
        <v>1.1879677193979008</v>
      </c>
      <c r="Q41" s="30">
        <f t="shared" si="43"/>
        <v>1.1606999238863587</v>
      </c>
      <c r="R41" s="30">
        <f t="shared" si="43"/>
        <v>0.99550296879336753</v>
      </c>
      <c r="S41" s="30">
        <f t="shared" si="43"/>
        <v>0.92798497448055273</v>
      </c>
      <c r="T41" s="30">
        <f t="shared" si="43"/>
        <v>0.95758065755957988</v>
      </c>
      <c r="U41" s="30">
        <f t="shared" si="43"/>
        <v>0.94309457048383272</v>
      </c>
      <c r="V41" s="30">
        <f t="shared" si="43"/>
        <v>0.94309457048383272</v>
      </c>
      <c r="W41" s="30">
        <f t="shared" si="43"/>
        <v>0.99812546618901599</v>
      </c>
      <c r="X41" s="30">
        <f t="shared" si="43"/>
        <v>1.096232848773969</v>
      </c>
      <c r="Y41" s="30">
        <f t="shared" si="43"/>
        <v>0.94543162877421938</v>
      </c>
      <c r="Z41" s="30">
        <f t="shared" si="43"/>
        <v>1.0534084758994005</v>
      </c>
      <c r="AA41" s="30">
        <f t="shared" si="43"/>
        <v>1.0212223027823824</v>
      </c>
      <c r="AB41" s="30">
        <f t="shared" si="43"/>
        <v>0.94883829176525347</v>
      </c>
      <c r="AC41" s="30">
        <f t="shared" si="43"/>
        <v>0.87480268004349826</v>
      </c>
      <c r="AD41" s="30">
        <f t="shared" si="43"/>
        <v>0.82889448947619382</v>
      </c>
      <c r="AE41" s="30">
        <f t="shared" ref="AE41" si="44">AE20/AE19</f>
        <v>0.91600051991941245</v>
      </c>
      <c r="AF41" s="1"/>
      <c r="AG41" s="1"/>
    </row>
    <row r="42" spans="1:33" x14ac:dyDescent="0.3">
      <c r="A42" s="16" t="s">
        <v>81</v>
      </c>
      <c r="B42" s="17" t="s">
        <v>43</v>
      </c>
      <c r="C42" s="1" t="s">
        <v>60</v>
      </c>
      <c r="D42" s="30" t="e">
        <f t="shared" ref="D42:AD42" si="45">(D20-D21)/D19</f>
        <v>#DIV/0!</v>
      </c>
      <c r="E42" s="30" t="e">
        <f t="shared" si="45"/>
        <v>#DIV/0!</v>
      </c>
      <c r="F42" s="30" t="e">
        <f t="shared" si="45"/>
        <v>#DIV/0!</v>
      </c>
      <c r="G42" s="30" t="e">
        <f t="shared" si="45"/>
        <v>#DIV/0!</v>
      </c>
      <c r="H42" s="30">
        <f t="shared" si="45"/>
        <v>1.8629360164248812</v>
      </c>
      <c r="I42" s="30">
        <f t="shared" ref="I42:AA42" si="46">(I20-I21)/I19</f>
        <v>63.110870508474399</v>
      </c>
      <c r="J42" s="30">
        <f t="shared" si="46"/>
        <v>1.0512152079395245</v>
      </c>
      <c r="K42" s="30">
        <f t="shared" si="46"/>
        <v>0.5350597524010039</v>
      </c>
      <c r="L42" s="30">
        <f t="shared" si="46"/>
        <v>0.62271895758402407</v>
      </c>
      <c r="M42" s="30">
        <f t="shared" si="46"/>
        <v>0.7238895950767108</v>
      </c>
      <c r="N42" s="30">
        <f t="shared" si="46"/>
        <v>0.63489641275258646</v>
      </c>
      <c r="O42" s="30">
        <f t="shared" si="46"/>
        <v>0.73637776729057369</v>
      </c>
      <c r="P42" s="30">
        <f t="shared" si="46"/>
        <v>0.99265934878427831</v>
      </c>
      <c r="Q42" s="30">
        <f t="shared" si="46"/>
        <v>1.0077303652606855</v>
      </c>
      <c r="R42" s="30">
        <f t="shared" si="46"/>
        <v>0.8336953884771362</v>
      </c>
      <c r="S42" s="30">
        <f t="shared" si="46"/>
        <v>0.80213865233832393</v>
      </c>
      <c r="T42" s="30">
        <f t="shared" si="46"/>
        <v>0.85216535347848232</v>
      </c>
      <c r="U42" s="30">
        <f t="shared" si="46"/>
        <v>0.82517720943682116</v>
      </c>
      <c r="V42" s="30">
        <f t="shared" si="46"/>
        <v>0.82517720943682116</v>
      </c>
      <c r="W42" s="30">
        <f t="shared" si="46"/>
        <v>0.85325091468496572</v>
      </c>
      <c r="X42" s="30">
        <f t="shared" si="46"/>
        <v>0.94986422755384292</v>
      </c>
      <c r="Y42" s="30">
        <f t="shared" si="46"/>
        <v>0.8130462642670151</v>
      </c>
      <c r="Z42" s="30">
        <f t="shared" si="46"/>
        <v>0.88288326616872848</v>
      </c>
      <c r="AA42" s="30">
        <f t="shared" si="46"/>
        <v>0.86131197702138562</v>
      </c>
      <c r="AB42" s="30">
        <f t="shared" si="45"/>
        <v>0.79799076839532979</v>
      </c>
      <c r="AC42" s="30">
        <f t="shared" si="45"/>
        <v>0.74272985582488527</v>
      </c>
      <c r="AD42" s="30">
        <f t="shared" si="45"/>
        <v>0.73227300592602695</v>
      </c>
      <c r="AE42" s="30">
        <f t="shared" ref="AE42" si="47">(AE20-AE21)/AE19</f>
        <v>0.82748423994280884</v>
      </c>
      <c r="AF42" s="1"/>
      <c r="AG42" s="1"/>
    </row>
    <row r="43" spans="1:33" x14ac:dyDescent="0.3">
      <c r="A43" s="18" t="s">
        <v>82</v>
      </c>
      <c r="B43" s="49" t="s">
        <v>44</v>
      </c>
      <c r="C43" s="6" t="s">
        <v>62</v>
      </c>
      <c r="D43" s="29" t="e">
        <f t="shared" ref="D43:AD43" si="48">D14/D19</f>
        <v>#DIV/0!</v>
      </c>
      <c r="E43" s="29" t="e">
        <f t="shared" si="48"/>
        <v>#DIV/0!</v>
      </c>
      <c r="F43" s="29" t="e">
        <f t="shared" si="48"/>
        <v>#DIV/0!</v>
      </c>
      <c r="G43" s="29" t="e">
        <f t="shared" si="48"/>
        <v>#DIV/0!</v>
      </c>
      <c r="H43" s="29">
        <f t="shared" si="48"/>
        <v>1.0987406627453546E-3</v>
      </c>
      <c r="I43" s="29">
        <f t="shared" ref="I43:AA43" si="49">I14/I19</f>
        <v>1.7692822188018275E-2</v>
      </c>
      <c r="J43" s="29">
        <f t="shared" si="49"/>
        <v>8.7536973163915135E-2</v>
      </c>
      <c r="K43" s="29">
        <f t="shared" si="49"/>
        <v>6.7107139235324215E-2</v>
      </c>
      <c r="L43" s="29">
        <f t="shared" si="49"/>
        <v>4.3356458432155319E-2</v>
      </c>
      <c r="M43" s="29">
        <f t="shared" si="49"/>
        <v>5.3613469065534658E-2</v>
      </c>
      <c r="N43" s="29">
        <f t="shared" si="49"/>
        <v>7.2005805355924532E-2</v>
      </c>
      <c r="O43" s="29">
        <f t="shared" si="49"/>
        <v>9.0109529354619605E-2</v>
      </c>
      <c r="P43" s="29">
        <f t="shared" si="49"/>
        <v>7.7769307155813761E-2</v>
      </c>
      <c r="Q43" s="29">
        <f t="shared" si="49"/>
        <v>0.15813725919790633</v>
      </c>
      <c r="R43" s="29">
        <f t="shared" si="49"/>
        <v>0.12515701389059566</v>
      </c>
      <c r="S43" s="29">
        <f t="shared" si="49"/>
        <v>0.12352575332961292</v>
      </c>
      <c r="T43" s="29">
        <f t="shared" si="49"/>
        <v>0.10417037357555124</v>
      </c>
      <c r="U43" s="29">
        <f t="shared" si="49"/>
        <v>0.11395671597279092</v>
      </c>
      <c r="V43" s="29">
        <f t="shared" si="49"/>
        <v>0.1322303745339132</v>
      </c>
      <c r="W43" s="29">
        <f t="shared" si="49"/>
        <v>0.16749420552079541</v>
      </c>
      <c r="X43" s="29">
        <f t="shared" si="49"/>
        <v>0.18967643813904342</v>
      </c>
      <c r="Y43" s="29">
        <f t="shared" si="49"/>
        <v>0.16761361598200222</v>
      </c>
      <c r="Z43" s="29">
        <f t="shared" si="49"/>
        <v>0.19595310581467715</v>
      </c>
      <c r="AA43" s="29">
        <f t="shared" si="49"/>
        <v>0.26377425214493128</v>
      </c>
      <c r="AB43" s="29">
        <f t="shared" si="48"/>
        <v>0.18296419844071216</v>
      </c>
      <c r="AC43" s="29">
        <f t="shared" si="48"/>
        <v>0.15554074437857368</v>
      </c>
      <c r="AD43" s="29">
        <f t="shared" si="48"/>
        <v>0.16037735849056603</v>
      </c>
      <c r="AE43" s="29">
        <f t="shared" ref="AE43" si="50">AE14/AE19</f>
        <v>0.17098849678299866</v>
      </c>
      <c r="AF43" s="1"/>
      <c r="AG43" s="1"/>
    </row>
    <row r="44" spans="1:33" x14ac:dyDescent="0.3">
      <c r="A44" s="16" t="s">
        <v>83</v>
      </c>
      <c r="B44" s="17" t="s">
        <v>45</v>
      </c>
      <c r="C44" s="1" t="s">
        <v>63</v>
      </c>
      <c r="D44" s="30" t="e">
        <f t="shared" ref="D44:AD44" si="51">D29/D7</f>
        <v>#DIV/0!</v>
      </c>
      <c r="E44" s="30" t="e">
        <f t="shared" si="51"/>
        <v>#DIV/0!</v>
      </c>
      <c r="F44" s="30" t="e">
        <f t="shared" si="51"/>
        <v>#DIV/0!</v>
      </c>
      <c r="G44" s="30" t="e">
        <f t="shared" si="51"/>
        <v>#DIV/0!</v>
      </c>
      <c r="H44" s="30">
        <f t="shared" si="51"/>
        <v>1.6440853436828502</v>
      </c>
      <c r="I44" s="30">
        <f t="shared" ref="I44:AA44" si="52">I29/I7</f>
        <v>4.4066996985467757</v>
      </c>
      <c r="J44" s="30">
        <f t="shared" si="52"/>
        <v>7.9927416391564696</v>
      </c>
      <c r="K44" s="30">
        <f t="shared" si="52"/>
        <v>3.758614818095432</v>
      </c>
      <c r="L44" s="30">
        <f t="shared" si="52"/>
        <v>4.6633848431523868</v>
      </c>
      <c r="M44" s="30">
        <f t="shared" si="52"/>
        <v>3.7912102251184554</v>
      </c>
      <c r="N44" s="30">
        <f t="shared" si="52"/>
        <v>3.223654003713885</v>
      </c>
      <c r="O44" s="30">
        <f t="shared" si="52"/>
        <v>3.5028386737893409</v>
      </c>
      <c r="P44" s="30">
        <f t="shared" si="52"/>
        <v>4.1436847336228437</v>
      </c>
      <c r="Q44" s="30">
        <f t="shared" si="52"/>
        <v>7.2851223858141179</v>
      </c>
      <c r="R44" s="30">
        <f t="shared" si="52"/>
        <v>6.2501045083555322</v>
      </c>
      <c r="S44" s="30">
        <f t="shared" si="52"/>
        <v>7.6743808519504411</v>
      </c>
      <c r="T44" s="30">
        <f t="shared" si="52"/>
        <v>4.6521284689844116</v>
      </c>
      <c r="U44" s="30">
        <f t="shared" si="52"/>
        <v>3.8558700789447444</v>
      </c>
      <c r="V44" s="30">
        <f t="shared" si="52"/>
        <v>3.2394634533862674</v>
      </c>
      <c r="W44" s="30">
        <f t="shared" si="52"/>
        <v>2.8113586976964906</v>
      </c>
      <c r="X44" s="30">
        <f t="shared" si="52"/>
        <v>2.8818108097351298</v>
      </c>
      <c r="Y44" s="30">
        <f t="shared" si="52"/>
        <v>6.1036574325547708</v>
      </c>
      <c r="Z44" s="30">
        <f t="shared" si="52"/>
        <v>3.6844148542683834</v>
      </c>
      <c r="AA44" s="30">
        <f t="shared" si="52"/>
        <v>2.961407323219845</v>
      </c>
      <c r="AB44" s="30">
        <f t="shared" si="51"/>
        <v>3.3398533007334965</v>
      </c>
      <c r="AC44" s="30">
        <f t="shared" si="51"/>
        <v>4.0461904761904766</v>
      </c>
      <c r="AD44" s="30">
        <f t="shared" si="51"/>
        <v>4.5305263157894737</v>
      </c>
      <c r="AE44" s="30">
        <f t="shared" ref="AE44" si="53">AE29/AE7</f>
        <v>4.4856000432268868</v>
      </c>
      <c r="AF44" s="1"/>
      <c r="AG44" s="1"/>
    </row>
    <row r="45" spans="1:33" x14ac:dyDescent="0.3">
      <c r="A45" s="18" t="s">
        <v>84</v>
      </c>
      <c r="B45" s="54" t="s">
        <v>99</v>
      </c>
      <c r="C45" s="6" t="s">
        <v>64</v>
      </c>
      <c r="D45" s="29" t="e">
        <f t="shared" ref="D45:AD45" si="54">D18/D23</f>
        <v>#DIV/0!</v>
      </c>
      <c r="E45" s="29" t="e">
        <f t="shared" si="54"/>
        <v>#DIV/0!</v>
      </c>
      <c r="F45" s="29" t="e">
        <f t="shared" si="54"/>
        <v>#DIV/0!</v>
      </c>
      <c r="G45" s="29" t="e">
        <f t="shared" si="54"/>
        <v>#DIV/0!</v>
      </c>
      <c r="H45" s="29">
        <f t="shared" si="54"/>
        <v>2.9424921141698168</v>
      </c>
      <c r="I45" s="29">
        <f t="shared" ref="I45:AA45" si="55">I18/I23</f>
        <v>3.1772800283941138</v>
      </c>
      <c r="J45" s="29">
        <f t="shared" si="55"/>
        <v>2.8365871000282814</v>
      </c>
      <c r="K45" s="29">
        <f t="shared" si="55"/>
        <v>3.3406342101877766</v>
      </c>
      <c r="L45" s="29">
        <f t="shared" si="55"/>
        <v>3.6552322291439969</v>
      </c>
      <c r="M45" s="29">
        <f t="shared" si="55"/>
        <v>4.3866214124309062</v>
      </c>
      <c r="N45" s="29">
        <f t="shared" si="55"/>
        <v>4.1759522520979369</v>
      </c>
      <c r="O45" s="29">
        <f t="shared" si="55"/>
        <v>4.1713874444044237</v>
      </c>
      <c r="P45" s="29">
        <f t="shared" si="55"/>
        <v>4.7110641825771626</v>
      </c>
      <c r="Q45" s="29">
        <f t="shared" si="55"/>
        <v>7.751864282483198</v>
      </c>
      <c r="R45" s="29">
        <f t="shared" si="55"/>
        <v>9.8686362469586655</v>
      </c>
      <c r="S45" s="29">
        <f t="shared" si="55"/>
        <v>11.268645874417107</v>
      </c>
      <c r="T45" s="29">
        <f t="shared" si="55"/>
        <v>6.1894138292405243</v>
      </c>
      <c r="U45" s="29">
        <f t="shared" si="55"/>
        <v>7.4958728265927803</v>
      </c>
      <c r="V45" s="29">
        <f t="shared" si="55"/>
        <v>7.1321278565306336</v>
      </c>
      <c r="W45" s="29">
        <f t="shared" si="55"/>
        <v>5.7475922078014969</v>
      </c>
      <c r="X45" s="29">
        <f t="shared" si="55"/>
        <v>5.8544000913513772</v>
      </c>
      <c r="Y45" s="29">
        <f t="shared" si="55"/>
        <v>12.658179848320692</v>
      </c>
      <c r="Z45" s="29">
        <f t="shared" si="55"/>
        <v>11.801637852593267</v>
      </c>
      <c r="AA45" s="29">
        <f t="shared" si="55"/>
        <v>14.024747639205469</v>
      </c>
      <c r="AB45" s="29">
        <f t="shared" si="54"/>
        <v>25.529112492933862</v>
      </c>
      <c r="AC45" s="29">
        <f t="shared" si="54"/>
        <v>65.245085190039319</v>
      </c>
      <c r="AD45" s="29">
        <f t="shared" si="54"/>
        <v>-55.351015801354407</v>
      </c>
      <c r="AE45" s="29">
        <f t="shared" ref="AE45" si="56">AE18/AE23</f>
        <v>81.615503875968983</v>
      </c>
      <c r="AF45" s="1"/>
      <c r="AG45" s="1"/>
    </row>
    <row r="46" spans="1:33" x14ac:dyDescent="0.3">
      <c r="A46" s="18" t="s">
        <v>97</v>
      </c>
      <c r="B46" s="17" t="s">
        <v>100</v>
      </c>
      <c r="C46" s="6" t="s">
        <v>111</v>
      </c>
      <c r="D46" s="28">
        <f t="shared" ref="D46:AG46" si="57">D13/D4</f>
        <v>0</v>
      </c>
      <c r="E46" s="28">
        <f t="shared" si="57"/>
        <v>0</v>
      </c>
      <c r="F46" s="28">
        <f t="shared" si="57"/>
        <v>0</v>
      </c>
      <c r="G46" s="28">
        <f t="shared" si="57"/>
        <v>0</v>
      </c>
      <c r="H46" s="28">
        <f t="shared" si="57"/>
        <v>2.2588836206896552</v>
      </c>
      <c r="I46" s="28">
        <f t="shared" ref="I46:AA46" si="58">I13/I4</f>
        <v>1.591557855626327</v>
      </c>
      <c r="J46" s="28">
        <f t="shared" si="58"/>
        <v>1.7690371443624873E-2</v>
      </c>
      <c r="K46" s="28">
        <f t="shared" si="58"/>
        <v>2.6585310104529618E-2</v>
      </c>
      <c r="L46" s="28">
        <f t="shared" si="58"/>
        <v>4.4827385824193815E-2</v>
      </c>
      <c r="M46" s="28">
        <f t="shared" si="58"/>
        <v>4.5960408834586471E-2</v>
      </c>
      <c r="N46" s="28">
        <f t="shared" si="58"/>
        <v>2.7722144918573489E-2</v>
      </c>
      <c r="O46" s="28">
        <f t="shared" si="58"/>
        <v>2.4556848106208513E-2</v>
      </c>
      <c r="P46" s="28">
        <f t="shared" si="58"/>
        <v>1.9408985956665153E-2</v>
      </c>
      <c r="Q46" s="28">
        <f t="shared" si="58"/>
        <v>2.2430968989158164E-2</v>
      </c>
      <c r="R46" s="28">
        <f t="shared" si="58"/>
        <v>4.6771557010365519E-2</v>
      </c>
      <c r="S46" s="28">
        <f t="shared" si="58"/>
        <v>2.7741463192301179E-2</v>
      </c>
      <c r="T46" s="28">
        <f t="shared" si="58"/>
        <v>6.3000002957337445E-2</v>
      </c>
      <c r="U46" s="28">
        <f t="shared" si="58"/>
        <v>0.10607750884008167</v>
      </c>
      <c r="V46" s="28">
        <f t="shared" si="58"/>
        <v>7.0063957657616166E-2</v>
      </c>
      <c r="W46" s="28">
        <f t="shared" si="58"/>
        <v>2.5384481471677506E-2</v>
      </c>
      <c r="X46" s="28">
        <f t="shared" si="58"/>
        <v>0.10171309153903264</v>
      </c>
      <c r="Y46" s="28">
        <f t="shared" si="58"/>
        <v>6.7884657715166193E-3</v>
      </c>
      <c r="Z46" s="28">
        <f t="shared" si="58"/>
        <v>8.0745341614906832E-2</v>
      </c>
      <c r="AA46" s="28">
        <f t="shared" si="58"/>
        <v>3.5490035490035494E-2</v>
      </c>
      <c r="AB46" s="28">
        <f t="shared" si="57"/>
        <v>0</v>
      </c>
      <c r="AC46" s="28">
        <f t="shared" si="57"/>
        <v>3.7433155080213908E-2</v>
      </c>
      <c r="AD46" s="28">
        <f t="shared" si="57"/>
        <v>0</v>
      </c>
      <c r="AE46" s="28">
        <f t="shared" si="57"/>
        <v>3.1347962382445138E-2</v>
      </c>
      <c r="AF46" s="28">
        <f t="shared" si="57"/>
        <v>2.3584905660377357E-2</v>
      </c>
      <c r="AG46" s="28">
        <f t="shared" si="57"/>
        <v>3.1446540880503145E-2</v>
      </c>
    </row>
  </sheetData>
  <mergeCells count="2">
    <mergeCell ref="A6:A13"/>
    <mergeCell ref="A14:A23"/>
  </mergeCells>
  <pageMargins left="0.7" right="0.7" top="0.75" bottom="0.75" header="0.3" footer="0.3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B1787-240D-461D-8F3F-2E5111F0F0C6}">
  <sheetPr codeName="Planilha26"/>
  <dimension ref="A3:AI46"/>
  <sheetViews>
    <sheetView workbookViewId="0">
      <pane xSplit="3" ySplit="4" topLeftCell="O5" activePane="bottomRight" state="frozen"/>
      <selection activeCell="C22" sqref="C22"/>
      <selection pane="topRight" activeCell="C22" sqref="C22"/>
      <selection pane="bottomLeft" activeCell="C22" sqref="C22"/>
      <selection pane="bottomRight" activeCell="AI43" sqref="AI43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1" width="8.33203125" customWidth="1"/>
  </cols>
  <sheetData>
    <row r="3" spans="1:34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8" t="s">
        <v>94</v>
      </c>
      <c r="AG3" s="8" t="s">
        <v>116</v>
      </c>
      <c r="AH3" s="8" t="s">
        <v>117</v>
      </c>
    </row>
    <row r="4" spans="1:34" x14ac:dyDescent="0.3">
      <c r="A4" s="4" t="s">
        <v>5</v>
      </c>
      <c r="B4" s="11">
        <v>1</v>
      </c>
      <c r="C4" s="6" t="s">
        <v>4</v>
      </c>
      <c r="D4" s="19">
        <v>1.1000000000000001</v>
      </c>
      <c r="E4" s="19">
        <v>0.88</v>
      </c>
      <c r="F4" s="19">
        <v>0.9</v>
      </c>
      <c r="G4" s="19">
        <v>1.1200000000000001</v>
      </c>
      <c r="H4" s="19">
        <v>1.1200000000000001</v>
      </c>
      <c r="I4" s="19">
        <v>1.37</v>
      </c>
      <c r="J4" s="19">
        <v>1.45</v>
      </c>
      <c r="K4" s="19">
        <v>1.18</v>
      </c>
      <c r="L4" s="19">
        <v>1.1599999999999999</v>
      </c>
      <c r="M4" s="19">
        <v>1.4</v>
      </c>
      <c r="N4" s="19">
        <v>1.43</v>
      </c>
      <c r="O4" s="19">
        <v>1.68</v>
      </c>
      <c r="P4" s="19">
        <v>2.4</v>
      </c>
      <c r="Q4" s="19">
        <v>2.23</v>
      </c>
      <c r="R4" s="19">
        <v>1.5489999999999999</v>
      </c>
      <c r="S4" s="19">
        <v>1.9790000000000001</v>
      </c>
      <c r="T4" s="19">
        <v>2.2759999999999998</v>
      </c>
      <c r="U4" s="19">
        <v>1.839</v>
      </c>
      <c r="V4" s="19">
        <v>2.2799999999999998</v>
      </c>
      <c r="W4" s="19">
        <v>2.91</v>
      </c>
      <c r="X4" s="19">
        <v>3.085</v>
      </c>
      <c r="Y4" s="19">
        <v>3.5960000000000001</v>
      </c>
      <c r="Z4" s="19">
        <v>3.2650000000000001</v>
      </c>
      <c r="AA4" s="19">
        <v>4.2519999999999998</v>
      </c>
      <c r="AB4" s="19">
        <v>3.6</v>
      </c>
      <c r="AC4" s="19">
        <v>3.5880000000000001</v>
      </c>
      <c r="AD4" s="19">
        <v>2.4980000000000002</v>
      </c>
      <c r="AE4" s="19">
        <v>3.35</v>
      </c>
      <c r="AF4" s="19">
        <v>3.504</v>
      </c>
      <c r="AG4" s="19">
        <v>3.504</v>
      </c>
      <c r="AH4" s="19">
        <v>3.504</v>
      </c>
    </row>
    <row r="5" spans="1:34" x14ac:dyDescent="0.3">
      <c r="A5" s="5" t="s">
        <v>8</v>
      </c>
      <c r="B5" s="12">
        <v>3</v>
      </c>
      <c r="C5" s="1" t="s">
        <v>86</v>
      </c>
      <c r="D5" s="3"/>
      <c r="E5" s="3">
        <v>435</v>
      </c>
      <c r="F5" s="3">
        <v>435</v>
      </c>
      <c r="G5" s="3">
        <v>435</v>
      </c>
      <c r="H5" s="3">
        <v>435</v>
      </c>
      <c r="I5" s="3">
        <v>435</v>
      </c>
      <c r="J5" s="3">
        <v>435</v>
      </c>
      <c r="K5" s="3">
        <v>767</v>
      </c>
      <c r="L5" s="3">
        <v>767</v>
      </c>
      <c r="M5" s="3">
        <v>767</v>
      </c>
      <c r="N5" s="3">
        <v>767</v>
      </c>
      <c r="O5" s="3">
        <v>767</v>
      </c>
      <c r="P5" s="3">
        <v>767</v>
      </c>
      <c r="Q5" s="3">
        <v>767</v>
      </c>
      <c r="R5" s="3">
        <v>754</v>
      </c>
      <c r="S5" s="3">
        <v>754</v>
      </c>
      <c r="T5" s="3">
        <v>752.4</v>
      </c>
      <c r="U5" s="3">
        <v>748.9</v>
      </c>
      <c r="V5" s="3">
        <v>730.6</v>
      </c>
      <c r="W5" s="3">
        <v>718.9</v>
      </c>
      <c r="X5" s="3">
        <v>717.2</v>
      </c>
      <c r="Y5" s="3">
        <v>717</v>
      </c>
      <c r="Z5" s="3">
        <v>717.5</v>
      </c>
      <c r="AA5" s="3">
        <v>717</v>
      </c>
      <c r="AB5" s="3">
        <v>717.55</v>
      </c>
      <c r="AC5" s="3">
        <v>717.55</v>
      </c>
      <c r="AD5" s="3">
        <v>711.18</v>
      </c>
      <c r="AE5" s="3">
        <v>714.51</v>
      </c>
      <c r="AF5" s="3">
        <v>713.46</v>
      </c>
      <c r="AG5" s="3">
        <v>713.46</v>
      </c>
      <c r="AH5" s="3">
        <v>713.5</v>
      </c>
    </row>
    <row r="6" spans="1:34" x14ac:dyDescent="0.3">
      <c r="A6" s="110" t="s">
        <v>7</v>
      </c>
      <c r="B6" s="13">
        <v>4</v>
      </c>
      <c r="C6" s="6" t="s">
        <v>104</v>
      </c>
      <c r="D6" s="7"/>
      <c r="E6" s="7"/>
      <c r="F6" s="7"/>
      <c r="G6" s="7"/>
      <c r="H6" s="7">
        <f>(51162295*5)/1000000</f>
        <v>255.811475</v>
      </c>
      <c r="I6" s="7">
        <f>(51057239*5)/1000000</f>
        <v>255.28619499999999</v>
      </c>
      <c r="J6" s="7">
        <v>540.82799999999997</v>
      </c>
      <c r="K6" s="7">
        <v>1049.874</v>
      </c>
      <c r="L6" s="7">
        <v>1085.604</v>
      </c>
      <c r="M6" s="7">
        <v>1000.6180000000001</v>
      </c>
      <c r="N6" s="7">
        <f>978331583/1000000</f>
        <v>978.33158300000002</v>
      </c>
      <c r="O6" s="7">
        <f>1029086148/1000000</f>
        <v>1029.0861480000001</v>
      </c>
      <c r="P6" s="7">
        <f>1136968629/1000000</f>
        <v>1136.968629</v>
      </c>
      <c r="Q6" s="7">
        <f>1072897492/1000000</f>
        <v>1072.8974920000001</v>
      </c>
      <c r="R6" s="7">
        <f>1127082866/1000000</f>
        <v>1127.082866</v>
      </c>
      <c r="S6" s="7">
        <f>1091194393/1000000</f>
        <v>1091.194393</v>
      </c>
      <c r="T6" s="7">
        <f>1381917937/1000000</f>
        <v>1381.9179369999999</v>
      </c>
      <c r="U6" s="7">
        <f>1484263944/1000000</f>
        <v>1484.263944</v>
      </c>
      <c r="V6" s="7">
        <f>1498559515/1000000</f>
        <v>1498.5595149999999</v>
      </c>
      <c r="W6" s="7">
        <f>1526951626/1000000</f>
        <v>1526.951626</v>
      </c>
      <c r="X6" s="7">
        <f>1537678167/1000000</f>
        <v>1537.678167</v>
      </c>
      <c r="Y6" s="7">
        <f>1624102449/1000000</f>
        <v>1624.102449</v>
      </c>
      <c r="Z6" s="7">
        <v>1577</v>
      </c>
      <c r="AA6" s="7">
        <v>1637</v>
      </c>
      <c r="AB6" s="7">
        <v>1692</v>
      </c>
      <c r="AC6" s="7">
        <v>1688</v>
      </c>
      <c r="AD6" s="7">
        <v>1385</v>
      </c>
      <c r="AE6" s="7">
        <v>1561</v>
      </c>
      <c r="AF6" s="1">
        <v>1697</v>
      </c>
      <c r="AG6" s="1">
        <v>1637</v>
      </c>
      <c r="AH6" s="1">
        <v>1573</v>
      </c>
    </row>
    <row r="7" spans="1:34" x14ac:dyDescent="0.3">
      <c r="A7" s="110"/>
      <c r="B7" s="13">
        <v>5</v>
      </c>
      <c r="C7" s="1" t="s">
        <v>115</v>
      </c>
      <c r="D7" s="3"/>
      <c r="E7" s="3"/>
      <c r="F7" s="3"/>
      <c r="G7" s="3"/>
      <c r="H7" s="40">
        <f>((1246667+8538271)*5)/1000000</f>
        <v>48.924689999999998</v>
      </c>
      <c r="I7" s="40">
        <f>((7818764+8521632)*5)/1000000</f>
        <v>81.701980000000006</v>
      </c>
      <c r="J7" s="3">
        <f>J8+68.776</f>
        <v>219.10000000000002</v>
      </c>
      <c r="K7" s="3">
        <f>K8+144.793</f>
        <v>317.42200000000003</v>
      </c>
      <c r="L7" s="3">
        <f>L8+144.261</f>
        <v>335.92700000000002</v>
      </c>
      <c r="M7" s="3">
        <f>M8+144.205</f>
        <v>255.17400000000001</v>
      </c>
      <c r="N7" s="3">
        <f>N8+(128013322/1000000)</f>
        <v>221.84781999999998</v>
      </c>
      <c r="O7" s="3">
        <f>O8+(129247224/1000000)</f>
        <v>261.32465000000002</v>
      </c>
      <c r="P7" s="3">
        <f>P8+(77160562/1000000)</f>
        <v>286.47199599999999</v>
      </c>
      <c r="Q7" s="3">
        <f>Q8+(70472286/1000000)</f>
        <v>330.79531800000001</v>
      </c>
      <c r="R7" s="3">
        <f>R8+(77047683/1000000)</f>
        <v>209.12753000000001</v>
      </c>
      <c r="S7" s="3">
        <f>S8+(111544032/1000000)</f>
        <v>292.67536899999999</v>
      </c>
      <c r="T7" s="3">
        <f>T8+(121184784/1000000)</f>
        <v>399.00151399999999</v>
      </c>
      <c r="U7" s="3">
        <f>U8+(124527404/1000000)</f>
        <v>390.68386699999996</v>
      </c>
      <c r="V7" s="3">
        <f>V8+(114173911/1000000)</f>
        <v>400.36821099999997</v>
      </c>
      <c r="W7" s="3">
        <f>W8+(102820792/1000000)</f>
        <v>336.53164700000002</v>
      </c>
      <c r="X7" s="3">
        <f>X8+(111502345/1000000)</f>
        <v>329.77892300000002</v>
      </c>
      <c r="Y7" s="3">
        <f>Y8+(121715935/1000000)</f>
        <v>404.579025</v>
      </c>
      <c r="Z7" s="3">
        <f>Z8+(166661123/1000000)</f>
        <v>397.02045799999996</v>
      </c>
      <c r="AA7" s="3">
        <v>403.8</v>
      </c>
      <c r="AB7" s="3">
        <f>AB8+(66.444913*2)</f>
        <v>436.04982600000005</v>
      </c>
      <c r="AC7" s="3">
        <v>372.1</v>
      </c>
      <c r="AD7" s="3">
        <v>285.5</v>
      </c>
      <c r="AE7" s="3">
        <v>350.94</v>
      </c>
      <c r="AF7" s="3">
        <v>388.98</v>
      </c>
      <c r="AG7" s="3">
        <v>375.82</v>
      </c>
      <c r="AH7" s="3">
        <v>336</v>
      </c>
    </row>
    <row r="8" spans="1:34" x14ac:dyDescent="0.3">
      <c r="A8" s="110"/>
      <c r="B8" s="13">
        <v>6</v>
      </c>
      <c r="C8" s="6" t="s">
        <v>10</v>
      </c>
      <c r="D8" s="7"/>
      <c r="E8" s="7"/>
      <c r="F8" s="7"/>
      <c r="G8" s="7"/>
      <c r="H8" s="7">
        <f>(1246667*5)/1000000</f>
        <v>6.2333350000000003</v>
      </c>
      <c r="I8" s="7">
        <f>(7818764*5)/1000000</f>
        <v>39.093820000000001</v>
      </c>
      <c r="J8" s="7">
        <v>150.32400000000001</v>
      </c>
      <c r="K8" s="7">
        <v>172.62899999999999</v>
      </c>
      <c r="L8" s="7">
        <v>191.666</v>
      </c>
      <c r="M8" s="7">
        <v>110.96899999999999</v>
      </c>
      <c r="N8" s="7">
        <f>93834498/1000000</f>
        <v>93.834497999999996</v>
      </c>
      <c r="O8" s="7">
        <f>132077426/1000000</f>
        <v>132.077426</v>
      </c>
      <c r="P8" s="7">
        <f>209311434/1000000</f>
        <v>209.31143399999999</v>
      </c>
      <c r="Q8" s="7">
        <f>260323032/1000000</f>
        <v>260.32303200000001</v>
      </c>
      <c r="R8" s="7">
        <f>132079847/1000000</f>
        <v>132.079847</v>
      </c>
      <c r="S8" s="7">
        <f>181131337/1000000</f>
        <v>181.131337</v>
      </c>
      <c r="T8" s="7">
        <f>277816730/1000000</f>
        <v>277.81673000000001</v>
      </c>
      <c r="U8" s="7">
        <f>266156463/1000000</f>
        <v>266.15646299999997</v>
      </c>
      <c r="V8" s="7">
        <f>286194300/1000000</f>
        <v>286.1943</v>
      </c>
      <c r="W8" s="7">
        <f>233710855/1000000</f>
        <v>233.71085500000001</v>
      </c>
      <c r="X8" s="7">
        <f>218276578/1000000</f>
        <v>218.276578</v>
      </c>
      <c r="Y8" s="7">
        <f>282863090/1000000</f>
        <v>282.86309</v>
      </c>
      <c r="Z8" s="7">
        <f>230359335/1000000</f>
        <v>230.35933499999999</v>
      </c>
      <c r="AA8" s="7">
        <f>255049635/1000000</f>
        <v>255.04963499999999</v>
      </c>
      <c r="AB8" s="7">
        <v>303.16000000000003</v>
      </c>
      <c r="AC8" s="7">
        <v>233.59</v>
      </c>
      <c r="AD8" s="7">
        <v>140.43</v>
      </c>
      <c r="AE8" s="7">
        <v>222.08</v>
      </c>
      <c r="AF8" s="3">
        <v>258.47000000000003</v>
      </c>
      <c r="AG8" s="3">
        <v>243.71</v>
      </c>
      <c r="AH8" s="3"/>
    </row>
    <row r="9" spans="1:34" x14ac:dyDescent="0.3">
      <c r="A9" s="110"/>
      <c r="B9" s="13">
        <v>11</v>
      </c>
      <c r="C9" s="1" t="s">
        <v>11</v>
      </c>
      <c r="D9" s="3"/>
      <c r="E9" s="3"/>
      <c r="F9" s="3"/>
      <c r="G9" s="3"/>
      <c r="H9" s="3">
        <f>-(672094*5)/1000000</f>
        <v>-3.3604699999999998</v>
      </c>
      <c r="I9" s="3">
        <f>-(360933*5)/1000000</f>
        <v>-1.804665</v>
      </c>
      <c r="J9" s="3">
        <v>-19.117999999999999</v>
      </c>
      <c r="K9" s="3">
        <v>-47.171999999999997</v>
      </c>
      <c r="L9" s="3">
        <v>-57.256999999999998</v>
      </c>
      <c r="M9" s="3">
        <v>-44.345999999999997</v>
      </c>
      <c r="N9" s="3">
        <f>-22852335/1000000</f>
        <v>-22.852335</v>
      </c>
      <c r="O9" s="3">
        <f>-45928337/1000000</f>
        <v>-45.928336999999999</v>
      </c>
      <c r="P9" s="3">
        <f>-26456536/1000000</f>
        <v>-26.456536</v>
      </c>
      <c r="Q9" s="3">
        <f>-27541005/1000000</f>
        <v>-27.541004999999998</v>
      </c>
      <c r="R9" s="3">
        <f>-19635390/1000000</f>
        <v>-19.635390000000001</v>
      </c>
      <c r="S9" s="3">
        <f>-7545480/1000000</f>
        <v>-7.5454800000000004</v>
      </c>
      <c r="T9" s="3">
        <f>-20079417/1000000</f>
        <v>-20.079416999999999</v>
      </c>
      <c r="U9" s="3">
        <f>-16346454/1000000</f>
        <v>-16.346454000000001</v>
      </c>
      <c r="V9" s="3">
        <f>-16298360/1000000</f>
        <v>-16.298359999999999</v>
      </c>
      <c r="W9" s="3">
        <f>-14147811/1000000</f>
        <v>-14.147811000000001</v>
      </c>
      <c r="X9" s="3">
        <f>-34152250/1000000</f>
        <v>-34.152250000000002</v>
      </c>
      <c r="Y9" s="3">
        <f>-50258882/1000000</f>
        <v>-50.258882</v>
      </c>
      <c r="Z9" s="3">
        <f>-20795889/1000000</f>
        <v>-20.795888999999999</v>
      </c>
      <c r="AA9" s="3">
        <f>-7696970/1000000</f>
        <v>-7.6969700000000003</v>
      </c>
      <c r="AB9" s="3">
        <v>-24.44</v>
      </c>
      <c r="AC9" s="3">
        <v>-21.9</v>
      </c>
      <c r="AD9" s="3">
        <v>-19.559999999999999</v>
      </c>
      <c r="AE9" s="3">
        <v>-18.149999999999999</v>
      </c>
      <c r="AF9" s="3">
        <v>-16.899999999999999</v>
      </c>
      <c r="AG9" s="3">
        <v>-15.53</v>
      </c>
      <c r="AH9" s="3"/>
    </row>
    <row r="10" spans="1:34" x14ac:dyDescent="0.3">
      <c r="A10" s="110"/>
      <c r="B10" s="13">
        <v>12</v>
      </c>
      <c r="C10" s="6" t="s">
        <v>12</v>
      </c>
      <c r="D10" s="7"/>
      <c r="E10" s="7"/>
      <c r="F10" s="7"/>
      <c r="G10" s="7"/>
      <c r="H10" s="7">
        <f>(954774*5)/1000000</f>
        <v>4.7738699999999996</v>
      </c>
      <c r="I10" s="7">
        <f>(5204843*5)/1000000</f>
        <v>26.024215000000002</v>
      </c>
      <c r="J10" s="7">
        <v>116.742</v>
      </c>
      <c r="K10" s="7">
        <v>112.127</v>
      </c>
      <c r="L10" s="7">
        <v>133.68600000000001</v>
      </c>
      <c r="M10" s="7">
        <v>70142</v>
      </c>
      <c r="N10" s="7">
        <f>70982163/1000000</f>
        <v>70.982163</v>
      </c>
      <c r="O10" s="7">
        <f>86024907/1000000</f>
        <v>86.024906999999999</v>
      </c>
      <c r="P10" s="7">
        <f>182854898/1000000</f>
        <v>182.85489799999999</v>
      </c>
      <c r="Q10" s="7">
        <f>232782027/1000000</f>
        <v>232.782027</v>
      </c>
      <c r="R10" s="7">
        <f>161495947/1000000</f>
        <v>161.495947</v>
      </c>
      <c r="S10" s="7">
        <f>132079847/1000000</f>
        <v>132.079847</v>
      </c>
      <c r="T10" s="7">
        <f>257737313/1000000</f>
        <v>257.73731299999997</v>
      </c>
      <c r="U10" s="7">
        <f>250403760/1000000</f>
        <v>250.40376000000001</v>
      </c>
      <c r="V10" s="7">
        <f>270501865/1000000</f>
        <v>270.50186500000001</v>
      </c>
      <c r="W10" s="7">
        <f>219563044/1000000</f>
        <v>219.56304399999999</v>
      </c>
      <c r="X10" s="7">
        <f>184124328/1000000</f>
        <v>184.12432799999999</v>
      </c>
      <c r="Y10" s="7">
        <f>232594208/1000000</f>
        <v>232.59420800000001</v>
      </c>
      <c r="Z10" s="7">
        <f>209563446/1000000</f>
        <v>209.563446</v>
      </c>
      <c r="AA10" s="7">
        <f>247352665/1000000</f>
        <v>247.352665</v>
      </c>
      <c r="AB10" s="7">
        <v>280.67</v>
      </c>
      <c r="AC10" s="7">
        <v>214.69</v>
      </c>
      <c r="AD10" s="7">
        <v>125.74</v>
      </c>
      <c r="AE10" s="7">
        <v>203.56</v>
      </c>
      <c r="AF10" s="3">
        <v>242.98</v>
      </c>
      <c r="AG10" s="3">
        <v>229.08</v>
      </c>
      <c r="AH10" s="3"/>
    </row>
    <row r="11" spans="1:34" x14ac:dyDescent="0.3">
      <c r="A11" s="110"/>
      <c r="B11" s="13">
        <v>13</v>
      </c>
      <c r="C11" s="1" t="s">
        <v>13</v>
      </c>
      <c r="D11" s="3"/>
      <c r="E11" s="3"/>
      <c r="F11" s="3"/>
      <c r="G11" s="3"/>
      <c r="H11" s="3">
        <f>(82963*5)/1000000</f>
        <v>0.41481499999999999</v>
      </c>
      <c r="I11" s="3">
        <f>(2054844*5)/1000000</f>
        <v>10.27422</v>
      </c>
      <c r="J11" s="3">
        <v>40.497999999999998</v>
      </c>
      <c r="K11" s="3">
        <v>41.017000000000003</v>
      </c>
      <c r="L11" s="3">
        <v>46.149000000000001</v>
      </c>
      <c r="M11" s="3">
        <v>3.302</v>
      </c>
      <c r="N11" s="3">
        <f>19694014/1000000</f>
        <v>19.694013999999999</v>
      </c>
      <c r="O11" s="3">
        <f>22504508/1000000</f>
        <v>22.504508000000001</v>
      </c>
      <c r="P11" s="3">
        <f>58184078/1000000</f>
        <v>58.184078</v>
      </c>
      <c r="Q11" s="3">
        <f>78810964/1000000</f>
        <v>78.810963999999998</v>
      </c>
      <c r="R11" s="3">
        <f>30422793/1000000</f>
        <v>30.422792999999999</v>
      </c>
      <c r="S11" s="3">
        <f>19461901/1000000</f>
        <v>19.461901000000001</v>
      </c>
      <c r="T11" s="3">
        <f>47157088/1000000</f>
        <v>47.157088000000002</v>
      </c>
      <c r="U11" s="3">
        <f>54057904/1000000</f>
        <v>54.057904000000001</v>
      </c>
      <c r="V11" s="3">
        <f>59316756/1000000</f>
        <v>59.316755999999998</v>
      </c>
      <c r="W11" s="3">
        <f>9519615/1000000</f>
        <v>9.5196149999999999</v>
      </c>
      <c r="X11" s="3">
        <f>2654912/1000000</f>
        <v>2.6549119999999999</v>
      </c>
      <c r="Y11" s="3">
        <f>35828685/1000000</f>
        <v>35.828685</v>
      </c>
      <c r="Z11" s="3">
        <f>-7266333/1000000</f>
        <v>-7.2663330000000004</v>
      </c>
      <c r="AA11" s="3">
        <f>39583528/1000000</f>
        <v>39.583528000000001</v>
      </c>
      <c r="AB11" s="3">
        <v>55.53</v>
      </c>
      <c r="AC11" s="3">
        <v>46.4</v>
      </c>
      <c r="AD11" s="3">
        <v>16.52</v>
      </c>
      <c r="AE11" s="3">
        <v>42.58</v>
      </c>
      <c r="AF11" s="3">
        <v>51.6</v>
      </c>
      <c r="AG11" s="3">
        <v>50.3</v>
      </c>
      <c r="AH11" s="3"/>
    </row>
    <row r="12" spans="1:34" x14ac:dyDescent="0.3">
      <c r="A12" s="110"/>
      <c r="B12" s="13">
        <v>14</v>
      </c>
      <c r="C12" s="6" t="s">
        <v>105</v>
      </c>
      <c r="D12" s="7"/>
      <c r="E12" s="7"/>
      <c r="F12" s="7"/>
      <c r="G12" s="7"/>
      <c r="H12" s="7">
        <f>(829898*5)/1000000</f>
        <v>4.1494900000000001</v>
      </c>
      <c r="I12" s="7">
        <f>(3259450*5)/1000000</f>
        <v>16.297249999999998</v>
      </c>
      <c r="J12" s="7">
        <v>77.238</v>
      </c>
      <c r="K12" s="7">
        <v>71.7</v>
      </c>
      <c r="L12" s="7">
        <v>89.486000000000004</v>
      </c>
      <c r="M12" s="7">
        <v>66.84</v>
      </c>
      <c r="N12" s="7">
        <f>51288149/1000000</f>
        <v>51.288148999999997</v>
      </c>
      <c r="O12" s="7">
        <f>63520399/1000000</f>
        <v>63.520398999999998</v>
      </c>
      <c r="P12" s="7">
        <f>124652532/1000000</f>
        <v>124.65253199999999</v>
      </c>
      <c r="Q12" s="7">
        <f>153971063/1000000</f>
        <v>153.97106299999999</v>
      </c>
      <c r="R12" s="7">
        <f>131074223/1000000</f>
        <v>131.07422299999999</v>
      </c>
      <c r="S12" s="7">
        <f>105072466/1000000</f>
        <v>105.07246600000001</v>
      </c>
      <c r="T12" s="7">
        <f>210588080/1000000</f>
        <v>210.58807999999999</v>
      </c>
      <c r="U12" s="7">
        <f>196331389/1000000</f>
        <v>196.331389</v>
      </c>
      <c r="V12" s="7">
        <f>211169129/1000000</f>
        <v>211.169129</v>
      </c>
      <c r="W12" s="7">
        <f>210043752/1000000</f>
        <v>210.04375200000001</v>
      </c>
      <c r="X12" s="7">
        <f>181469417/1000000</f>
        <v>181.46941699999999</v>
      </c>
      <c r="Y12" s="7">
        <f>196765522/1000000</f>
        <v>196.765522</v>
      </c>
      <c r="Z12" s="7">
        <v>217.5</v>
      </c>
      <c r="AA12" s="7">
        <v>207.77</v>
      </c>
      <c r="AB12" s="7">
        <v>225.14</v>
      </c>
      <c r="AC12" s="7">
        <v>168.3</v>
      </c>
      <c r="AD12" s="7">
        <v>109.21</v>
      </c>
      <c r="AE12" s="7">
        <v>161.11000000000001</v>
      </c>
      <c r="AF12" s="3">
        <v>187.38</v>
      </c>
      <c r="AG12" s="3">
        <v>178.58</v>
      </c>
      <c r="AH12" s="3"/>
    </row>
    <row r="13" spans="1:34" x14ac:dyDescent="0.3">
      <c r="A13" s="110"/>
      <c r="B13" s="13">
        <v>2</v>
      </c>
      <c r="C13" s="1" t="s">
        <v>15</v>
      </c>
      <c r="D13" s="3"/>
      <c r="E13" s="3"/>
      <c r="F13" s="3"/>
      <c r="G13" s="3"/>
      <c r="H13" s="35">
        <f>((2175000*5)/1000000)/H5</f>
        <v>2.5000000000000001E-2</v>
      </c>
      <c r="I13" s="35">
        <f>((1522500*5)/1000000)/I5</f>
        <v>1.7499999999999998E-2</v>
      </c>
      <c r="J13" s="35">
        <f>7.594/J5</f>
        <v>1.7457471264367818E-2</v>
      </c>
      <c r="K13" s="35">
        <f>45.286/K5</f>
        <v>5.9043024771838336E-2</v>
      </c>
      <c r="L13" s="35">
        <f>23.025/L5</f>
        <v>3.0019556714471967E-2</v>
      </c>
      <c r="M13" s="35">
        <f>24.175/M5</f>
        <v>3.1518904823989571E-2</v>
      </c>
      <c r="N13" s="35">
        <f>(24176250/1000000)/N5</f>
        <v>3.1520534550195566E-2</v>
      </c>
      <c r="O13" s="35">
        <f>(28472004/1000000)/O5</f>
        <v>3.7121256844850063E-2</v>
      </c>
      <c r="P13" s="35">
        <f>(40290574/1000000)/P5</f>
        <v>5.2530083441981748E-2</v>
      </c>
      <c r="Q13" s="35">
        <f>(114348486/1000000)/Q5</f>
        <v>0.14908537940026076</v>
      </c>
      <c r="R13" s="35">
        <f>(26662818/1000000)/R5</f>
        <v>3.5361827586206901E-2</v>
      </c>
      <c r="S13" s="35">
        <f>(79006792/1000000)/S5</f>
        <v>0.10478354376657825</v>
      </c>
      <c r="T13" s="35">
        <f>(179759263/1000000)/T5</f>
        <v>0.23891449096225414</v>
      </c>
      <c r="U13" s="35">
        <v>0</v>
      </c>
      <c r="V13" s="35">
        <f>(164730885/1000000)/V5</f>
        <v>0.22547342595127293</v>
      </c>
      <c r="W13" s="35">
        <f>(201364493/1000000)/W5</f>
        <v>0.28010083878147174</v>
      </c>
      <c r="X13" s="35">
        <f>(200783584/1000000)/X5</f>
        <v>0.27995480200780809</v>
      </c>
      <c r="Y13" s="35">
        <f>(440459260/1000000)/Y5</f>
        <v>0.61430859135285909</v>
      </c>
      <c r="Z13" s="35">
        <f>(170004583/1000000)/Z5</f>
        <v>0.23694018536585365</v>
      </c>
      <c r="AA13" s="35">
        <v>0.2</v>
      </c>
      <c r="AB13" s="35">
        <v>0.28000000000000003</v>
      </c>
      <c r="AC13" s="35">
        <v>0.42</v>
      </c>
      <c r="AD13" s="35">
        <v>0.14000000000000001</v>
      </c>
      <c r="AE13" s="35">
        <v>0.21</v>
      </c>
      <c r="AF13" s="1">
        <v>0.23</v>
      </c>
      <c r="AG13" s="1">
        <v>0.22</v>
      </c>
      <c r="AH13" s="1"/>
    </row>
    <row r="14" spans="1:34" x14ac:dyDescent="0.3">
      <c r="A14" s="111" t="s">
        <v>14</v>
      </c>
      <c r="B14" s="14">
        <v>8</v>
      </c>
      <c r="C14" s="6" t="s">
        <v>16</v>
      </c>
      <c r="D14" s="7"/>
      <c r="E14" s="7"/>
      <c r="F14" s="7"/>
      <c r="G14" s="7"/>
      <c r="H14" s="7">
        <f>(598924*5)/1000000</f>
        <v>2.9946199999999998</v>
      </c>
      <c r="I14" s="7">
        <f>(3271899*5)/1000000</f>
        <v>16.359494999999999</v>
      </c>
      <c r="J14" s="7">
        <v>12.897</v>
      </c>
      <c r="K14" s="7">
        <v>119.494</v>
      </c>
      <c r="L14" s="7">
        <v>281.94200000000001</v>
      </c>
      <c r="M14" s="7">
        <v>346.447</v>
      </c>
      <c r="N14" s="7">
        <f>76546530/1000000</f>
        <v>76.546530000000004</v>
      </c>
      <c r="O14" s="7">
        <f>89521261/1000000</f>
        <v>89.521260999999996</v>
      </c>
      <c r="P14" s="7">
        <f>268898911/1000000</f>
        <v>268.898911</v>
      </c>
      <c r="Q14" s="7">
        <f>385164849/1000000</f>
        <v>385.164849</v>
      </c>
      <c r="R14" s="7">
        <f>222548686/1000000</f>
        <v>222.548686</v>
      </c>
      <c r="S14" s="7">
        <f>52549252/1000000</f>
        <v>52.549252000000003</v>
      </c>
      <c r="T14" s="7">
        <f>133958910/1000000</f>
        <v>133.95891</v>
      </c>
      <c r="U14" s="7">
        <f>267431715/1000000</f>
        <v>267.431715</v>
      </c>
      <c r="V14" s="7">
        <f>329368449/1000000</f>
        <v>329.368449</v>
      </c>
      <c r="W14" s="7">
        <f>524293683/1000000</f>
        <v>524.29368299999999</v>
      </c>
      <c r="X14" s="7">
        <f>524293683/1000000</f>
        <v>524.29368299999999</v>
      </c>
      <c r="Y14" s="7">
        <v>74.400000000000006</v>
      </c>
      <c r="Z14" s="7">
        <v>68.400000000000006</v>
      </c>
      <c r="AA14" s="7">
        <v>129</v>
      </c>
      <c r="AB14" s="7">
        <v>81.3</v>
      </c>
      <c r="AC14" s="7">
        <v>164.8</v>
      </c>
      <c r="AD14" s="7">
        <v>306.39999999999998</v>
      </c>
      <c r="AE14" s="7">
        <v>243.3</v>
      </c>
      <c r="AF14" s="1"/>
      <c r="AG14" s="1"/>
      <c r="AH14" s="1"/>
    </row>
    <row r="15" spans="1:34" x14ac:dyDescent="0.3">
      <c r="A15" s="112"/>
      <c r="B15" s="14">
        <v>7</v>
      </c>
      <c r="C15" s="1" t="s">
        <v>17</v>
      </c>
      <c r="D15" s="3"/>
      <c r="E15" s="3"/>
      <c r="F15" s="3"/>
      <c r="G15" s="3"/>
      <c r="H15" s="3">
        <f>(4170819+24258787)*5/1000000</f>
        <v>142.14803000000001</v>
      </c>
      <c r="I15" s="3">
        <f>(20548500+13744555)*5/1000000</f>
        <v>171.46527499999999</v>
      </c>
      <c r="J15" s="3">
        <v>569.27300000000002</v>
      </c>
      <c r="K15" s="3">
        <v>1528.0530000000001</v>
      </c>
      <c r="L15" s="3">
        <f>896.291+547.386</f>
        <v>1443.6770000000001</v>
      </c>
      <c r="M15" s="3">
        <f>877.236+608.356</f>
        <v>1485.5920000000001</v>
      </c>
      <c r="N15" s="3">
        <f>(825506528+121957999)/1000000</f>
        <v>947.46452699999998</v>
      </c>
      <c r="O15" s="3">
        <f>(747419828+78239599)/1000000</f>
        <v>825.65942700000005</v>
      </c>
      <c r="P15" s="3">
        <f>(738494880+10463576)/1000000</f>
        <v>748.95845599999996</v>
      </c>
      <c r="Q15" s="3">
        <f>(692012410+60856190)/1000000</f>
        <v>752.86860000000001</v>
      </c>
      <c r="R15" s="3">
        <f>(686887139+16094889)/1000000</f>
        <v>702.98202800000001</v>
      </c>
      <c r="S15" s="3">
        <f>(420985054+331311677)/1000000</f>
        <v>752.29673100000002</v>
      </c>
      <c r="T15" s="3">
        <f>(729696907+91250000)/1000000</f>
        <v>820.94690700000001</v>
      </c>
      <c r="U15" s="3">
        <f>(566813031+164085292)/1000000</f>
        <v>730.898323</v>
      </c>
      <c r="V15" s="3">
        <f>(473259873+219744522)/1000000</f>
        <v>693.00439500000005</v>
      </c>
      <c r="W15" s="3">
        <f>(771632455+59702381)/1000000</f>
        <v>831.334836</v>
      </c>
      <c r="X15" s="3">
        <f>(468458255+304735140)/1000000</f>
        <v>773.19339500000001</v>
      </c>
      <c r="Y15" s="3">
        <f>(686570753+40578590)/1000000</f>
        <v>727.14934300000004</v>
      </c>
      <c r="Z15" s="3">
        <f>(638558905+69702381)/1000000</f>
        <v>708.26128600000004</v>
      </c>
      <c r="AA15" s="3">
        <f>(667851880+150205000)/1000000</f>
        <v>818.05687999999998</v>
      </c>
      <c r="AB15" s="3">
        <v>763.8</v>
      </c>
      <c r="AC15" s="3">
        <v>924</v>
      </c>
      <c r="AD15" s="3">
        <v>1035.5</v>
      </c>
      <c r="AE15" s="3">
        <v>892.1</v>
      </c>
      <c r="AF15" s="1"/>
      <c r="AG15" s="1"/>
      <c r="AH15" s="1"/>
    </row>
    <row r="16" spans="1:34" x14ac:dyDescent="0.3">
      <c r="A16" s="112"/>
      <c r="B16" s="14">
        <v>9</v>
      </c>
      <c r="C16" s="6" t="s">
        <v>92</v>
      </c>
      <c r="D16" s="7"/>
      <c r="E16" s="7"/>
      <c r="F16" s="7"/>
      <c r="G16" s="7"/>
      <c r="H16" s="7">
        <f>(16294038*5)/1000000</f>
        <v>81.470190000000002</v>
      </c>
      <c r="I16" s="7">
        <f>(16177299*5)/1000000</f>
        <v>80.886494999999996</v>
      </c>
      <c r="J16" s="7">
        <v>79.688000000000002</v>
      </c>
      <c r="K16" s="7">
        <v>79.125</v>
      </c>
      <c r="L16" s="7">
        <v>77.081999999999994</v>
      </c>
      <c r="M16" s="7">
        <v>0</v>
      </c>
      <c r="N16" s="7">
        <v>204.875</v>
      </c>
      <c r="O16" s="7">
        <v>170.79599999999999</v>
      </c>
      <c r="P16" s="7">
        <f>181.774</f>
        <v>181.774</v>
      </c>
      <c r="Q16" s="7">
        <v>237.40100000000001</v>
      </c>
      <c r="R16" s="7">
        <v>231.358</v>
      </c>
      <c r="S16" s="7">
        <v>230.00299999999999</v>
      </c>
      <c r="T16" s="7">
        <v>216.755</v>
      </c>
      <c r="U16" s="7">
        <v>220.66</v>
      </c>
      <c r="V16" s="7">
        <v>238.82400000000001</v>
      </c>
      <c r="W16" s="7">
        <v>238.54300000000001</v>
      </c>
      <c r="X16" s="7">
        <v>235.25299999999999</v>
      </c>
      <c r="Y16" s="7">
        <v>8.6</v>
      </c>
      <c r="Z16" s="7">
        <v>2.2999999999999998</v>
      </c>
      <c r="AA16" s="7">
        <v>0.4</v>
      </c>
      <c r="AB16" s="7">
        <v>0.2</v>
      </c>
      <c r="AC16" s="7">
        <v>0.3</v>
      </c>
      <c r="AD16" s="7">
        <v>0.3</v>
      </c>
      <c r="AE16" s="7">
        <v>0.3</v>
      </c>
      <c r="AF16" s="1"/>
      <c r="AG16" s="1"/>
      <c r="AH16" s="1"/>
    </row>
    <row r="17" spans="1:34" x14ac:dyDescent="0.3">
      <c r="A17" s="112"/>
      <c r="B17" s="14">
        <v>10</v>
      </c>
      <c r="C17" s="1" t="s">
        <v>18</v>
      </c>
      <c r="D17" s="3"/>
      <c r="E17" s="3"/>
      <c r="F17" s="3"/>
      <c r="G17" s="3"/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1"/>
      <c r="AG17" s="1"/>
      <c r="AH17" s="1"/>
    </row>
    <row r="18" spans="1:34" x14ac:dyDescent="0.3">
      <c r="A18" s="112"/>
      <c r="B18" s="14">
        <v>15</v>
      </c>
      <c r="C18" s="6" t="s">
        <v>19</v>
      </c>
      <c r="D18" s="7"/>
      <c r="E18" s="7"/>
      <c r="F18" s="7"/>
      <c r="G18" s="7"/>
      <c r="H18" s="7">
        <f>(32449615*5)/1000000</f>
        <v>162.248075</v>
      </c>
      <c r="I18" s="7">
        <f>(38912880*5)/1000000</f>
        <v>194.56440000000001</v>
      </c>
      <c r="J18" s="7">
        <v>616.12</v>
      </c>
      <c r="K18" s="7">
        <v>1668.2139999999999</v>
      </c>
      <c r="L18" s="7">
        <v>1592.548</v>
      </c>
      <c r="M18" s="7">
        <v>1618.6279999999999</v>
      </c>
      <c r="N18" s="7">
        <f>1287990499/1000000</f>
        <v>1287.990499</v>
      </c>
      <c r="O18" s="7">
        <f>151676758/1000000</f>
        <v>151.67675800000001</v>
      </c>
      <c r="P18" s="7">
        <f>1169115815/1000000</f>
        <v>1169.1158150000001</v>
      </c>
      <c r="Q18" s="7">
        <f>1282417971/1000000</f>
        <v>1282.4179710000001</v>
      </c>
      <c r="R18" s="7">
        <f>1205080063/1000000</f>
        <v>1205.0800630000001</v>
      </c>
      <c r="S18" s="7">
        <f>1290601701/1000000</f>
        <v>1290.601701</v>
      </c>
      <c r="T18" s="7">
        <f>1363512596/1000000</f>
        <v>1363.512596</v>
      </c>
      <c r="U18" s="7">
        <f>1343096470/1000000</f>
        <v>1343.09647</v>
      </c>
      <c r="V18" s="7">
        <f>1243648024/1000000</f>
        <v>1243.6480240000001</v>
      </c>
      <c r="W18" s="7">
        <f>1339843557/1000000</f>
        <v>1339.8435569999999</v>
      </c>
      <c r="X18" s="7">
        <f>1254628708/1000000</f>
        <v>1254.628708</v>
      </c>
      <c r="Y18" s="7">
        <v>1224.2</v>
      </c>
      <c r="Z18" s="7">
        <v>1178.0999999999999</v>
      </c>
      <c r="AA18" s="7">
        <v>1254.7</v>
      </c>
      <c r="AB18" s="7">
        <v>1377.4</v>
      </c>
      <c r="AC18" s="7">
        <v>1524.5</v>
      </c>
      <c r="AD18" s="7">
        <v>1527.5</v>
      </c>
      <c r="AE18" s="7">
        <v>1440.9</v>
      </c>
      <c r="AF18" s="1"/>
      <c r="AG18" s="1"/>
      <c r="AH18" s="1"/>
    </row>
    <row r="19" spans="1:34" x14ac:dyDescent="0.3">
      <c r="A19" s="112"/>
      <c r="B19" s="14">
        <v>18</v>
      </c>
      <c r="C19" s="1" t="s">
        <v>21</v>
      </c>
      <c r="D19" s="3"/>
      <c r="E19" s="3"/>
      <c r="F19" s="3"/>
      <c r="G19" s="3"/>
      <c r="H19" s="3">
        <f>(24258787*5)/1000000</f>
        <v>121.293935</v>
      </c>
      <c r="I19" s="3">
        <f>(13744555*5)/1000000</f>
        <v>68.722774999999999</v>
      </c>
      <c r="J19" s="3">
        <v>346.25200000000001</v>
      </c>
      <c r="K19" s="3">
        <v>1139.5360000000001</v>
      </c>
      <c r="L19" s="3">
        <v>547.38599999999997</v>
      </c>
      <c r="M19" s="3">
        <v>608.35599999999999</v>
      </c>
      <c r="N19" s="3">
        <f>346501578/1000000</f>
        <v>346.50157799999999</v>
      </c>
      <c r="O19" s="3">
        <f>277835226/1000000</f>
        <v>277.83522599999998</v>
      </c>
      <c r="P19" s="3">
        <f>238706269/1000000</f>
        <v>238.70626899999999</v>
      </c>
      <c r="Q19" s="3">
        <f>402345335/1000000</f>
        <v>402.34533499999998</v>
      </c>
      <c r="R19" s="3">
        <f>303707980/1000000</f>
        <v>303.70798000000002</v>
      </c>
      <c r="S19" s="3">
        <f>659419841/1000000</f>
        <v>659.41984100000002</v>
      </c>
      <c r="T19" s="3">
        <f>405418445/1000000</f>
        <v>405.41844500000002</v>
      </c>
      <c r="U19" s="3">
        <f>528652043/1000000</f>
        <v>528.65204300000005</v>
      </c>
      <c r="V19" s="3">
        <f>554189313/1000000</f>
        <v>554.18931299999997</v>
      </c>
      <c r="W19" s="3">
        <f>373354839/1000000</f>
        <v>373.35483900000003</v>
      </c>
      <c r="X19" s="3">
        <f>610576701/1000000</f>
        <v>610.57670099999996</v>
      </c>
      <c r="Y19" s="3">
        <f>343008611/1000000</f>
        <v>343.00861099999997</v>
      </c>
      <c r="Z19" s="3">
        <f>406631724/1000000</f>
        <v>406.63172400000002</v>
      </c>
      <c r="AA19" s="3">
        <f>453287224/1000000</f>
        <v>453.28722399999998</v>
      </c>
      <c r="AB19" s="3">
        <v>526.4</v>
      </c>
      <c r="AC19" s="3">
        <v>480</v>
      </c>
      <c r="AD19" s="3">
        <v>636.70000000000005</v>
      </c>
      <c r="AE19" s="3">
        <v>448.9</v>
      </c>
      <c r="AF19" s="1"/>
      <c r="AG19" s="1"/>
      <c r="AH19" s="1"/>
    </row>
    <row r="20" spans="1:34" x14ac:dyDescent="0.3">
      <c r="A20" s="112"/>
      <c r="B20" s="14">
        <v>17</v>
      </c>
      <c r="C20" s="6" t="s">
        <v>22</v>
      </c>
      <c r="D20" s="7"/>
      <c r="E20" s="7"/>
      <c r="F20" s="7"/>
      <c r="G20" s="7"/>
      <c r="H20" s="7">
        <f>((154896512-777790-92879692-1553852)*5)/1000000</f>
        <v>298.42588999999998</v>
      </c>
      <c r="I20" s="7">
        <f>((162629008-861157-87402172-1792516)*5)/1000000</f>
        <v>362.865815</v>
      </c>
      <c r="J20" s="7">
        <v>452.67700000000002</v>
      </c>
      <c r="K20" s="7">
        <v>933.26</v>
      </c>
      <c r="L20" s="7">
        <f>2729.757-27.603-1278.903-416.487</f>
        <v>1006.7639999999999</v>
      </c>
      <c r="M20" s="7">
        <f>2721.501-27.669-1272.921-398.395</f>
        <v>1022.5160000000003</v>
      </c>
      <c r="N20" s="7">
        <f>499052702/1000000</f>
        <v>499.05270200000001</v>
      </c>
      <c r="O20" s="7">
        <f>483263906/1000000</f>
        <v>483.26390600000002</v>
      </c>
      <c r="P20" s="7">
        <f>660678200/1000000</f>
        <v>660.67819999999995</v>
      </c>
      <c r="Q20" s="7">
        <f>880673655/1000000</f>
        <v>880.67365500000005</v>
      </c>
      <c r="R20" s="7">
        <f>709489656/1000000</f>
        <v>709.48965599999997</v>
      </c>
      <c r="S20" s="7">
        <f>419486079/1000000</f>
        <v>419.48607900000002</v>
      </c>
      <c r="T20" s="7">
        <f>551926157/1000000</f>
        <v>551.92615699999999</v>
      </c>
      <c r="U20" s="7">
        <f>753063858/1000000</f>
        <v>753.06385799999998</v>
      </c>
      <c r="V20" s="7">
        <f>794500260/1000000</f>
        <v>794.50026000000003</v>
      </c>
      <c r="W20" s="7">
        <f>981081814/1000000</f>
        <v>981.08181400000001</v>
      </c>
      <c r="X20" s="7">
        <f>940150351/1000000</f>
        <v>940.150351</v>
      </c>
      <c r="Y20" s="7">
        <f>558225851/1000000</f>
        <v>558.22585100000003</v>
      </c>
      <c r="Z20" s="7">
        <f>561927232/1000000</f>
        <v>561.927232</v>
      </c>
      <c r="AA20" s="7">
        <f>625907375/1000000</f>
        <v>625.907375</v>
      </c>
      <c r="AB20" s="7">
        <v>690.7</v>
      </c>
      <c r="AC20" s="7">
        <v>652.29999999999995</v>
      </c>
      <c r="AD20" s="7">
        <v>714.4</v>
      </c>
      <c r="AE20" s="7">
        <v>694.1</v>
      </c>
      <c r="AF20" s="1"/>
      <c r="AG20" s="1"/>
      <c r="AH20" s="1"/>
    </row>
    <row r="21" spans="1:34" x14ac:dyDescent="0.3">
      <c r="A21" s="112"/>
      <c r="B21" s="14">
        <v>19</v>
      </c>
      <c r="C21" s="1" t="s">
        <v>88</v>
      </c>
      <c r="D21" s="3"/>
      <c r="E21" s="3"/>
      <c r="F21" s="3"/>
      <c r="G21" s="3"/>
      <c r="H21" s="3">
        <f>(11667029*5)/1000000</f>
        <v>58.335144999999997</v>
      </c>
      <c r="I21" s="3">
        <f>(8213785*5)/1000000</f>
        <v>41.068925</v>
      </c>
      <c r="J21" s="3">
        <v>71.405000000000001</v>
      </c>
      <c r="K21" s="3">
        <v>175.59</v>
      </c>
      <c r="L21" s="3">
        <v>175.233</v>
      </c>
      <c r="M21" s="3">
        <v>173.613</v>
      </c>
      <c r="N21" s="3">
        <f>144118579/1000000</f>
        <v>144.11857900000001</v>
      </c>
      <c r="O21" s="3">
        <f>131112525/1000000</f>
        <v>131.11252500000001</v>
      </c>
      <c r="P21" s="3">
        <f>117555865/1000000</f>
        <v>117.555865</v>
      </c>
      <c r="Q21" s="3">
        <f>141834846/1000000</f>
        <v>141.834846</v>
      </c>
      <c r="R21" s="3">
        <f>147268818/1000000</f>
        <v>147.26881800000001</v>
      </c>
      <c r="S21" s="3">
        <f>240317883/1000000</f>
        <v>240.31788299999999</v>
      </c>
      <c r="T21" s="3">
        <f>172899681/1000000</f>
        <v>172.89968099999999</v>
      </c>
      <c r="U21" s="3">
        <f>188690926/1000000</f>
        <v>188.69092599999999</v>
      </c>
      <c r="V21" s="3">
        <f>212387683/1000000</f>
        <v>212.38768300000001</v>
      </c>
      <c r="W21" s="3">
        <f>202925486/1000000</f>
        <v>202.92548600000001</v>
      </c>
      <c r="X21" s="3">
        <f>188859834/1000000</f>
        <v>188.85983400000001</v>
      </c>
      <c r="Y21" s="3">
        <f>212554956/1000000</f>
        <v>212.554956</v>
      </c>
      <c r="Z21" s="3">
        <f>208888472/1000000</f>
        <v>208.88847200000001</v>
      </c>
      <c r="AA21" s="3">
        <f>187795595/1000000</f>
        <v>187.79559499999999</v>
      </c>
      <c r="AB21" s="3">
        <v>222.4</v>
      </c>
      <c r="AC21" s="3">
        <v>217.9</v>
      </c>
      <c r="AD21" s="3">
        <v>176.7</v>
      </c>
      <c r="AE21" s="3">
        <v>191.2</v>
      </c>
      <c r="AF21" s="1"/>
      <c r="AG21" s="1"/>
      <c r="AH21" s="1"/>
    </row>
    <row r="22" spans="1:34" x14ac:dyDescent="0.3">
      <c r="A22" s="112"/>
      <c r="B22" s="14">
        <v>20</v>
      </c>
      <c r="C22" s="6" t="s">
        <v>87</v>
      </c>
      <c r="D22" s="7"/>
      <c r="E22" s="7"/>
      <c r="F22" s="7"/>
      <c r="G22" s="7"/>
      <c r="H22" s="7">
        <f>(7689396*5)/1000000</f>
        <v>38.446980000000003</v>
      </c>
      <c r="I22" s="7">
        <f>(11937557*5)/1000000</f>
        <v>59.687784999999998</v>
      </c>
      <c r="J22" s="7">
        <v>109.379</v>
      </c>
      <c r="K22" s="7">
        <v>231.63399999999999</v>
      </c>
      <c r="L22" s="7">
        <v>206.60499999999999</v>
      </c>
      <c r="M22" s="7">
        <v>192.87100000000001</v>
      </c>
      <c r="N22" s="7">
        <f>219895258/1000000</f>
        <v>219.89525800000001</v>
      </c>
      <c r="O22" s="7">
        <f>226498001/1000000</f>
        <v>226.49800099999999</v>
      </c>
      <c r="P22" s="7">
        <f>318463062/1000000</f>
        <v>318.46306199999998</v>
      </c>
      <c r="Q22" s="7">
        <f>249540631/1000000</f>
        <v>249.54063099999999</v>
      </c>
      <c r="R22" s="7">
        <f>199553225/1000000</f>
        <v>199.553225</v>
      </c>
      <c r="S22" s="7">
        <f>168190561/1000000</f>
        <v>168.190561</v>
      </c>
      <c r="T22" s="7">
        <f>212839536/1000000</f>
        <v>212.83953600000001</v>
      </c>
      <c r="U22" s="7">
        <f>188690926/1000000</f>
        <v>188.69092599999999</v>
      </c>
      <c r="V22" s="7">
        <f>188359334/1000000</f>
        <v>188.35933399999999</v>
      </c>
      <c r="W22" s="7">
        <f>200812149/1000000</f>
        <v>200.81214900000001</v>
      </c>
      <c r="X22" s="7">
        <f>188808093/1000000</f>
        <v>188.80809300000001</v>
      </c>
      <c r="Y22" s="7">
        <v>182.1</v>
      </c>
      <c r="Z22" s="7">
        <v>181.9</v>
      </c>
      <c r="AA22" s="7">
        <v>175.7</v>
      </c>
      <c r="AB22" s="7">
        <v>226</v>
      </c>
      <c r="AC22" s="7">
        <v>156.6</v>
      </c>
      <c r="AD22" s="7">
        <v>133.6</v>
      </c>
      <c r="AE22" s="7">
        <v>178</v>
      </c>
      <c r="AF22" s="1"/>
      <c r="AG22" s="1"/>
      <c r="AH22" s="1"/>
    </row>
    <row r="23" spans="1:34" x14ac:dyDescent="0.3">
      <c r="A23" s="112"/>
      <c r="B23" s="14">
        <v>16</v>
      </c>
      <c r="C23" s="1" t="s">
        <v>20</v>
      </c>
      <c r="D23" s="3"/>
      <c r="E23" s="3"/>
      <c r="F23" s="3"/>
      <c r="G23" s="3"/>
      <c r="H23" s="3">
        <f>(106152856*5)/1000000</f>
        <v>530.76427999999999</v>
      </c>
      <c r="I23" s="3">
        <f>(107538829*5)/1000000</f>
        <v>537.69414500000005</v>
      </c>
      <c r="J23" s="3">
        <v>603.47699999999998</v>
      </c>
      <c r="K23" s="3">
        <v>994.226</v>
      </c>
      <c r="L23" s="3">
        <v>2729.7570000000001</v>
      </c>
      <c r="M23" s="3">
        <v>2721.5010000000002</v>
      </c>
      <c r="N23" s="3">
        <f>1008797388/1000000</f>
        <v>1008.797388</v>
      </c>
      <c r="O23" s="3">
        <f>1034440094/1000000</f>
        <v>1034.440094</v>
      </c>
      <c r="P23" s="3">
        <f>1123611848/1000000</f>
        <v>1123.611848</v>
      </c>
      <c r="Q23" s="3">
        <f>1176244482/1000000</f>
        <v>1176.2444820000001</v>
      </c>
      <c r="R23" s="3">
        <f>1246258304/1000000</f>
        <v>1246.258304</v>
      </c>
      <c r="S23" s="3">
        <f>1270326366/1000000</f>
        <v>1270.326366</v>
      </c>
      <c r="T23" s="3">
        <f>1303502967/1000000</f>
        <v>1303.5029669999999</v>
      </c>
      <c r="U23" s="3">
        <f>1478155508/1000000</f>
        <v>1478.1555080000001</v>
      </c>
      <c r="V23" s="3">
        <f>1480836907/1000000</f>
        <v>1480.8369070000001</v>
      </c>
      <c r="W23" s="3">
        <f>1479825935/1000000</f>
        <v>1479.8259350000001</v>
      </c>
      <c r="X23" s="3">
        <f>1453662938/1000000</f>
        <v>1453.6629379999999</v>
      </c>
      <c r="Y23" s="3">
        <v>1205.5999999999999</v>
      </c>
      <c r="Z23" s="3">
        <v>1231</v>
      </c>
      <c r="AA23" s="3">
        <v>1184.5</v>
      </c>
      <c r="AB23" s="3">
        <v>1186.4000000000001</v>
      </c>
      <c r="AC23" s="3">
        <v>1027.0999999999999</v>
      </c>
      <c r="AD23" s="3">
        <v>1025.9000000000001</v>
      </c>
      <c r="AE23" s="3">
        <v>1037.8</v>
      </c>
      <c r="AF23" s="1"/>
      <c r="AG23" s="1"/>
      <c r="AH23" s="1"/>
    </row>
    <row r="25" spans="1:34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  <c r="AG25" s="8" t="s">
        <v>116</v>
      </c>
      <c r="AH25" s="8" t="s">
        <v>117</v>
      </c>
    </row>
    <row r="26" spans="1:34" x14ac:dyDescent="0.3">
      <c r="A26" s="6" t="s">
        <v>65</v>
      </c>
      <c r="B26" s="17" t="s">
        <v>27</v>
      </c>
      <c r="C26" s="6" t="s">
        <v>85</v>
      </c>
      <c r="D26" s="7">
        <f t="shared" ref="D26:AH26" si="0">D4*D5</f>
        <v>0</v>
      </c>
      <c r="E26" s="7">
        <f t="shared" si="0"/>
        <v>382.8</v>
      </c>
      <c r="F26" s="7">
        <f t="shared" si="0"/>
        <v>391.5</v>
      </c>
      <c r="G26" s="7">
        <f t="shared" si="0"/>
        <v>487.20000000000005</v>
      </c>
      <c r="H26" s="7">
        <f t="shared" ref="H26:I26" si="1">H4*H5</f>
        <v>487.20000000000005</v>
      </c>
      <c r="I26" s="7">
        <f t="shared" si="1"/>
        <v>595.95000000000005</v>
      </c>
      <c r="J26" s="7">
        <f t="shared" si="0"/>
        <v>630.75</v>
      </c>
      <c r="K26" s="7">
        <f t="shared" si="0"/>
        <v>905.06</v>
      </c>
      <c r="L26" s="7">
        <f t="shared" si="0"/>
        <v>889.71999999999991</v>
      </c>
      <c r="M26" s="7">
        <f t="shared" si="0"/>
        <v>1073.8</v>
      </c>
      <c r="N26" s="7">
        <f t="shared" si="0"/>
        <v>1096.81</v>
      </c>
      <c r="O26" s="7">
        <f t="shared" si="0"/>
        <v>1288.56</v>
      </c>
      <c r="P26" s="7">
        <f t="shared" si="0"/>
        <v>1840.8</v>
      </c>
      <c r="Q26" s="7">
        <f t="shared" si="0"/>
        <v>1710.41</v>
      </c>
      <c r="R26" s="7">
        <f t="shared" si="0"/>
        <v>1167.9459999999999</v>
      </c>
      <c r="S26" s="7">
        <f t="shared" si="0"/>
        <v>1492.1660000000002</v>
      </c>
      <c r="T26" s="7">
        <f t="shared" si="0"/>
        <v>1712.4623999999999</v>
      </c>
      <c r="U26" s="7">
        <f t="shared" si="0"/>
        <v>1377.2270999999998</v>
      </c>
      <c r="V26" s="7">
        <f t="shared" si="0"/>
        <v>1665.7679999999998</v>
      </c>
      <c r="W26" s="7">
        <f t="shared" si="0"/>
        <v>2091.9990000000003</v>
      </c>
      <c r="X26" s="7">
        <f t="shared" si="0"/>
        <v>2212.5619999999999</v>
      </c>
      <c r="Y26" s="7">
        <f t="shared" si="0"/>
        <v>2578.3319999999999</v>
      </c>
      <c r="Z26" s="7">
        <f t="shared" si="0"/>
        <v>2342.6375000000003</v>
      </c>
      <c r="AA26" s="7">
        <f t="shared" si="0"/>
        <v>3048.6839999999997</v>
      </c>
      <c r="AB26" s="7">
        <f t="shared" si="0"/>
        <v>2583.1799999999998</v>
      </c>
      <c r="AC26" s="7">
        <f t="shared" si="0"/>
        <v>2574.5693999999999</v>
      </c>
      <c r="AD26" s="7">
        <f t="shared" si="0"/>
        <v>1776.52764</v>
      </c>
      <c r="AE26" s="7">
        <f t="shared" si="0"/>
        <v>2393.6084999999998</v>
      </c>
      <c r="AF26" s="7">
        <f t="shared" si="0"/>
        <v>2499.9638400000003</v>
      </c>
      <c r="AG26" s="7">
        <f t="shared" si="0"/>
        <v>2499.9638400000003</v>
      </c>
      <c r="AH26" s="7">
        <f t="shared" si="0"/>
        <v>2500.1039999999998</v>
      </c>
    </row>
    <row r="27" spans="1:34" x14ac:dyDescent="0.3">
      <c r="A27" s="1" t="s">
        <v>66</v>
      </c>
      <c r="B27" s="2" t="s">
        <v>28</v>
      </c>
      <c r="C27" s="1" t="s">
        <v>47</v>
      </c>
      <c r="D27" s="30" t="e">
        <f t="shared" ref="D27:AE27" si="2">D26/D6</f>
        <v>#DIV/0!</v>
      </c>
      <c r="E27" s="30" t="e">
        <f t="shared" si="2"/>
        <v>#DIV/0!</v>
      </c>
      <c r="F27" s="30" t="e">
        <f t="shared" si="2"/>
        <v>#DIV/0!</v>
      </c>
      <c r="G27" s="30" t="e">
        <f t="shared" si="2"/>
        <v>#DIV/0!</v>
      </c>
      <c r="H27" s="30">
        <f t="shared" ref="H27:I27" si="3">H26/H6</f>
        <v>1.9045275431839015</v>
      </c>
      <c r="I27" s="30">
        <f t="shared" si="3"/>
        <v>2.3344388050438845</v>
      </c>
      <c r="J27" s="30">
        <f t="shared" si="2"/>
        <v>1.1662672790609954</v>
      </c>
      <c r="K27" s="30">
        <f t="shared" si="2"/>
        <v>0.86206535260421724</v>
      </c>
      <c r="L27" s="30">
        <f t="shared" si="2"/>
        <v>0.81956219763375948</v>
      </c>
      <c r="M27" s="30">
        <f t="shared" si="2"/>
        <v>1.0731368014566998</v>
      </c>
      <c r="N27" s="30">
        <f t="shared" si="2"/>
        <v>1.1211025168345199</v>
      </c>
      <c r="O27" s="30">
        <f t="shared" si="2"/>
        <v>1.2521400686466142</v>
      </c>
      <c r="P27" s="30">
        <f t="shared" si="2"/>
        <v>1.6190420325132824</v>
      </c>
      <c r="Q27" s="30">
        <f t="shared" si="2"/>
        <v>1.594197034435793</v>
      </c>
      <c r="R27" s="30">
        <f t="shared" si="2"/>
        <v>1.0362556607261919</v>
      </c>
      <c r="S27" s="30">
        <f t="shared" si="2"/>
        <v>1.3674612054206186</v>
      </c>
      <c r="T27" s="30">
        <f t="shared" si="2"/>
        <v>1.2391925411414644</v>
      </c>
      <c r="U27" s="30">
        <f t="shared" si="2"/>
        <v>0.92788557289107054</v>
      </c>
      <c r="V27" s="30">
        <f t="shared" si="2"/>
        <v>1.1115794757073763</v>
      </c>
      <c r="W27" s="30">
        <f t="shared" si="2"/>
        <v>1.3700492958511052</v>
      </c>
      <c r="X27" s="30">
        <f t="shared" si="2"/>
        <v>1.4388979745460611</v>
      </c>
      <c r="Y27" s="30">
        <f t="shared" si="2"/>
        <v>1.5875427080277742</v>
      </c>
      <c r="Z27" s="30">
        <f t="shared" si="2"/>
        <v>1.4855025364616361</v>
      </c>
      <c r="AA27" s="30">
        <f t="shared" si="2"/>
        <v>1.8623604153940132</v>
      </c>
      <c r="AB27" s="30">
        <f t="shared" si="2"/>
        <v>1.5267021276595745</v>
      </c>
      <c r="AC27" s="30">
        <f t="shared" si="2"/>
        <v>1.5252188388625592</v>
      </c>
      <c r="AD27" s="30">
        <f t="shared" si="2"/>
        <v>1.2826914368231046</v>
      </c>
      <c r="AE27" s="30">
        <f t="shared" si="2"/>
        <v>1.5333814862267776</v>
      </c>
      <c r="AF27" s="30">
        <f t="shared" ref="AF27:AH27" si="4">AF26/AF6</f>
        <v>1.473166670595168</v>
      </c>
      <c r="AG27" s="30">
        <f t="shared" si="4"/>
        <v>1.5271617837507638</v>
      </c>
      <c r="AH27" s="30">
        <f t="shared" si="4"/>
        <v>1.5893858868404322</v>
      </c>
    </row>
    <row r="28" spans="1:34" x14ac:dyDescent="0.3">
      <c r="A28" s="6" t="s">
        <v>67</v>
      </c>
      <c r="B28" s="17" t="s">
        <v>29</v>
      </c>
      <c r="C28" s="6" t="s">
        <v>48</v>
      </c>
      <c r="D28" s="29" t="e">
        <f t="shared" ref="D28:AE28" si="5">D26/D7</f>
        <v>#DIV/0!</v>
      </c>
      <c r="E28" s="29" t="e">
        <f t="shared" si="5"/>
        <v>#DIV/0!</v>
      </c>
      <c r="F28" s="29" t="e">
        <f t="shared" si="5"/>
        <v>#DIV/0!</v>
      </c>
      <c r="G28" s="29" t="e">
        <f t="shared" si="5"/>
        <v>#DIV/0!</v>
      </c>
      <c r="H28" s="29">
        <f t="shared" ref="H28:I28" si="6">H26/H7</f>
        <v>9.9581622285189759</v>
      </c>
      <c r="I28" s="29">
        <f t="shared" si="6"/>
        <v>7.2941928702339895</v>
      </c>
      <c r="J28" s="29">
        <f t="shared" si="5"/>
        <v>2.8788224554997717</v>
      </c>
      <c r="K28" s="29">
        <f t="shared" si="5"/>
        <v>2.8512831498761897</v>
      </c>
      <c r="L28" s="29">
        <f t="shared" si="5"/>
        <v>2.648551619845978</v>
      </c>
      <c r="M28" s="29">
        <f t="shared" si="5"/>
        <v>4.2081089766198749</v>
      </c>
      <c r="N28" s="29">
        <f t="shared" si="5"/>
        <v>4.9439746579434498</v>
      </c>
      <c r="O28" s="29">
        <f t="shared" si="5"/>
        <v>4.9308781242029784</v>
      </c>
      <c r="P28" s="29">
        <f t="shared" si="5"/>
        <v>6.4257589771532153</v>
      </c>
      <c r="Q28" s="29">
        <f t="shared" si="5"/>
        <v>5.170599180004114</v>
      </c>
      <c r="R28" s="29">
        <f t="shared" si="5"/>
        <v>5.5848505455020669</v>
      </c>
      <c r="S28" s="29">
        <f t="shared" si="5"/>
        <v>5.0983654863009678</v>
      </c>
      <c r="T28" s="29">
        <f t="shared" si="5"/>
        <v>4.2918694288463275</v>
      </c>
      <c r="U28" s="29">
        <f t="shared" si="5"/>
        <v>3.5251701345528046</v>
      </c>
      <c r="V28" s="29">
        <f t="shared" si="5"/>
        <v>4.1605900624313055</v>
      </c>
      <c r="W28" s="29">
        <f t="shared" si="5"/>
        <v>6.2163514743681745</v>
      </c>
      <c r="X28" s="29">
        <f t="shared" si="5"/>
        <v>6.7092280485129727</v>
      </c>
      <c r="Y28" s="29">
        <f t="shared" si="5"/>
        <v>6.3728761025117402</v>
      </c>
      <c r="Z28" s="29">
        <f t="shared" si="5"/>
        <v>5.900546062036935</v>
      </c>
      <c r="AA28" s="29">
        <f t="shared" si="5"/>
        <v>7.5499851411589889</v>
      </c>
      <c r="AB28" s="29">
        <f t="shared" si="5"/>
        <v>5.9240477715498496</v>
      </c>
      <c r="AC28" s="29">
        <f t="shared" si="5"/>
        <v>6.9190255307712976</v>
      </c>
      <c r="AD28" s="29">
        <f t="shared" si="5"/>
        <v>6.2225136252189142</v>
      </c>
      <c r="AE28" s="29">
        <f t="shared" si="5"/>
        <v>6.8205633441613944</v>
      </c>
      <c r="AF28" s="29">
        <f t="shared" ref="AF28:AH28" si="7">AF26/AF7</f>
        <v>6.4269726978250814</v>
      </c>
      <c r="AG28" s="29">
        <f t="shared" si="7"/>
        <v>6.6520244798041626</v>
      </c>
      <c r="AH28" s="29">
        <f t="shared" si="7"/>
        <v>7.4407857142857141</v>
      </c>
    </row>
    <row r="29" spans="1:34" x14ac:dyDescent="0.3">
      <c r="A29" s="15" t="s">
        <v>68</v>
      </c>
      <c r="B29" s="2" t="s">
        <v>30</v>
      </c>
      <c r="C29" s="1" t="s">
        <v>49</v>
      </c>
      <c r="D29" s="3">
        <f t="shared" ref="D29:AE29" si="8">D15-D14</f>
        <v>0</v>
      </c>
      <c r="E29" s="3">
        <f t="shared" si="8"/>
        <v>0</v>
      </c>
      <c r="F29" s="3">
        <f t="shared" si="8"/>
        <v>0</v>
      </c>
      <c r="G29" s="3">
        <f t="shared" si="8"/>
        <v>0</v>
      </c>
      <c r="H29" s="3">
        <f t="shared" ref="H29:I29" si="9">H15-H14</f>
        <v>139.15341000000001</v>
      </c>
      <c r="I29" s="3">
        <f t="shared" si="9"/>
        <v>155.10577999999998</v>
      </c>
      <c r="J29" s="3">
        <f t="shared" si="8"/>
        <v>556.37599999999998</v>
      </c>
      <c r="K29" s="3">
        <f t="shared" si="8"/>
        <v>1408.5590000000002</v>
      </c>
      <c r="L29" s="3">
        <f t="shared" si="8"/>
        <v>1161.7350000000001</v>
      </c>
      <c r="M29" s="3">
        <f t="shared" si="8"/>
        <v>1139.145</v>
      </c>
      <c r="N29" s="3">
        <f t="shared" si="8"/>
        <v>870.91799700000001</v>
      </c>
      <c r="O29" s="3">
        <f t="shared" si="8"/>
        <v>736.13816600000007</v>
      </c>
      <c r="P29" s="3">
        <f t="shared" si="8"/>
        <v>480.05954499999996</v>
      </c>
      <c r="Q29" s="3">
        <f t="shared" si="8"/>
        <v>367.70375100000001</v>
      </c>
      <c r="R29" s="3">
        <f t="shared" si="8"/>
        <v>480.43334200000004</v>
      </c>
      <c r="S29" s="3">
        <f t="shared" si="8"/>
        <v>699.747479</v>
      </c>
      <c r="T29" s="3">
        <f t="shared" si="8"/>
        <v>686.98799699999995</v>
      </c>
      <c r="U29" s="3">
        <f t="shared" si="8"/>
        <v>463.46660800000001</v>
      </c>
      <c r="V29" s="3">
        <f t="shared" si="8"/>
        <v>363.63594600000005</v>
      </c>
      <c r="W29" s="3">
        <f t="shared" si="8"/>
        <v>307.04115300000001</v>
      </c>
      <c r="X29" s="3">
        <f t="shared" si="8"/>
        <v>248.89971200000002</v>
      </c>
      <c r="Y29" s="3">
        <f t="shared" si="8"/>
        <v>652.74934300000007</v>
      </c>
      <c r="Z29" s="3">
        <f t="shared" si="8"/>
        <v>639.86128600000006</v>
      </c>
      <c r="AA29" s="3">
        <f t="shared" si="8"/>
        <v>689.05687999999998</v>
      </c>
      <c r="AB29" s="3">
        <f t="shared" si="8"/>
        <v>682.5</v>
      </c>
      <c r="AC29" s="3">
        <f t="shared" si="8"/>
        <v>759.2</v>
      </c>
      <c r="AD29" s="3">
        <f t="shared" si="8"/>
        <v>729.1</v>
      </c>
      <c r="AE29" s="3">
        <f t="shared" si="8"/>
        <v>648.79999999999995</v>
      </c>
      <c r="AF29" s="1"/>
      <c r="AG29" s="1"/>
      <c r="AH29" s="1"/>
    </row>
    <row r="30" spans="1:34" x14ac:dyDescent="0.3">
      <c r="A30" s="6" t="s">
        <v>69</v>
      </c>
      <c r="B30" s="17" t="s">
        <v>31</v>
      </c>
      <c r="C30" s="6" t="s">
        <v>50</v>
      </c>
      <c r="D30" s="7">
        <f t="shared" ref="D30:AE30" si="10">D26+D29+D16+D17</f>
        <v>0</v>
      </c>
      <c r="E30" s="7">
        <f t="shared" si="10"/>
        <v>382.8</v>
      </c>
      <c r="F30" s="7">
        <f t="shared" si="10"/>
        <v>391.5</v>
      </c>
      <c r="G30" s="7">
        <f t="shared" si="10"/>
        <v>487.20000000000005</v>
      </c>
      <c r="H30" s="7">
        <f t="shared" ref="H30:I30" si="11">H26+H29+H16+H17</f>
        <v>707.82360000000006</v>
      </c>
      <c r="I30" s="7">
        <f t="shared" si="11"/>
        <v>831.942275</v>
      </c>
      <c r="J30" s="7">
        <f t="shared" si="10"/>
        <v>1266.8140000000001</v>
      </c>
      <c r="K30" s="7">
        <f t="shared" si="10"/>
        <v>2392.7440000000001</v>
      </c>
      <c r="L30" s="7">
        <f t="shared" si="10"/>
        <v>2128.5369999999998</v>
      </c>
      <c r="M30" s="7">
        <f t="shared" si="10"/>
        <v>2212.9449999999997</v>
      </c>
      <c r="N30" s="7">
        <f t="shared" si="10"/>
        <v>2172.602997</v>
      </c>
      <c r="O30" s="7">
        <f t="shared" si="10"/>
        <v>2195.494166</v>
      </c>
      <c r="P30" s="7">
        <f t="shared" si="10"/>
        <v>2502.6335449999997</v>
      </c>
      <c r="Q30" s="7">
        <f t="shared" si="10"/>
        <v>2315.5147509999997</v>
      </c>
      <c r="R30" s="7">
        <f t="shared" si="10"/>
        <v>1879.7373419999999</v>
      </c>
      <c r="S30" s="7">
        <f t="shared" si="10"/>
        <v>2421.9164790000004</v>
      </c>
      <c r="T30" s="7">
        <f t="shared" si="10"/>
        <v>2616.2053969999997</v>
      </c>
      <c r="U30" s="7">
        <f t="shared" si="10"/>
        <v>2061.3537079999996</v>
      </c>
      <c r="V30" s="7">
        <f t="shared" si="10"/>
        <v>2268.227946</v>
      </c>
      <c r="W30" s="7">
        <f t="shared" si="10"/>
        <v>2637.5831530000005</v>
      </c>
      <c r="X30" s="7">
        <f t="shared" si="10"/>
        <v>2696.714712</v>
      </c>
      <c r="Y30" s="7">
        <f t="shared" si="10"/>
        <v>3239.6813429999997</v>
      </c>
      <c r="Z30" s="7">
        <f t="shared" si="10"/>
        <v>2984.7987860000003</v>
      </c>
      <c r="AA30" s="7">
        <f t="shared" si="10"/>
        <v>3738.1408799999999</v>
      </c>
      <c r="AB30" s="7">
        <f t="shared" si="10"/>
        <v>3265.8799999999997</v>
      </c>
      <c r="AC30" s="7">
        <f t="shared" si="10"/>
        <v>3334.0694000000003</v>
      </c>
      <c r="AD30" s="7">
        <f t="shared" si="10"/>
        <v>2505.9276400000003</v>
      </c>
      <c r="AE30" s="7">
        <f t="shared" si="10"/>
        <v>3042.7084999999997</v>
      </c>
      <c r="AF30" s="7"/>
      <c r="AG30" s="1"/>
      <c r="AH30" s="1"/>
    </row>
    <row r="31" spans="1:34" x14ac:dyDescent="0.3">
      <c r="A31" s="1" t="s">
        <v>70</v>
      </c>
      <c r="B31" s="2" t="s">
        <v>32</v>
      </c>
      <c r="C31" s="1" t="s">
        <v>51</v>
      </c>
      <c r="D31" s="30" t="e">
        <f t="shared" ref="D31:AE31" si="12">D30/D7</f>
        <v>#DIV/0!</v>
      </c>
      <c r="E31" s="30" t="e">
        <f t="shared" si="12"/>
        <v>#DIV/0!</v>
      </c>
      <c r="F31" s="30" t="e">
        <f t="shared" si="12"/>
        <v>#DIV/0!</v>
      </c>
      <c r="G31" s="30" t="e">
        <f t="shared" si="12"/>
        <v>#DIV/0!</v>
      </c>
      <c r="H31" s="30">
        <f t="shared" ref="H31:I31" si="13">H30/H7</f>
        <v>14.467615430981782</v>
      </c>
      <c r="I31" s="30">
        <f t="shared" si="13"/>
        <v>10.182645206395241</v>
      </c>
      <c r="J31" s="30">
        <f t="shared" si="12"/>
        <v>5.7818986764034683</v>
      </c>
      <c r="K31" s="30">
        <f t="shared" si="12"/>
        <v>7.5380534430505763</v>
      </c>
      <c r="L31" s="30">
        <f t="shared" si="12"/>
        <v>6.3363081860046968</v>
      </c>
      <c r="M31" s="30">
        <f t="shared" si="12"/>
        <v>8.6722981181468324</v>
      </c>
      <c r="N31" s="30">
        <f t="shared" si="12"/>
        <v>9.7932131900146686</v>
      </c>
      <c r="O31" s="30">
        <f t="shared" si="12"/>
        <v>8.4014047890239194</v>
      </c>
      <c r="P31" s="30">
        <f t="shared" si="12"/>
        <v>8.7360495264605191</v>
      </c>
      <c r="Q31" s="30">
        <f t="shared" si="12"/>
        <v>6.9998413671622757</v>
      </c>
      <c r="R31" s="30">
        <f t="shared" si="12"/>
        <v>8.9884738848108601</v>
      </c>
      <c r="S31" s="30">
        <f t="shared" si="12"/>
        <v>8.2750949875799105</v>
      </c>
      <c r="T31" s="30">
        <f t="shared" si="12"/>
        <v>6.5568808768981262</v>
      </c>
      <c r="U31" s="30">
        <f t="shared" si="12"/>
        <v>5.2762703610691961</v>
      </c>
      <c r="V31" s="30">
        <f t="shared" si="12"/>
        <v>5.6653547501552266</v>
      </c>
      <c r="W31" s="30">
        <f t="shared" si="12"/>
        <v>7.8375486421935241</v>
      </c>
      <c r="X31" s="30">
        <f t="shared" si="12"/>
        <v>8.1773410121786334</v>
      </c>
      <c r="Y31" s="30">
        <f t="shared" si="12"/>
        <v>8.0075365820064448</v>
      </c>
      <c r="Z31" s="30">
        <f t="shared" si="12"/>
        <v>7.5179974378045795</v>
      </c>
      <c r="AA31" s="30">
        <f t="shared" si="12"/>
        <v>9.257406835066865</v>
      </c>
      <c r="AB31" s="30">
        <f t="shared" si="12"/>
        <v>7.489694537798071</v>
      </c>
      <c r="AC31" s="30">
        <f t="shared" si="12"/>
        <v>8.9601435098091908</v>
      </c>
      <c r="AD31" s="30">
        <f t="shared" si="12"/>
        <v>8.7773297373029777</v>
      </c>
      <c r="AE31" s="30">
        <f t="shared" si="12"/>
        <v>8.670167265059554</v>
      </c>
      <c r="AF31" s="1"/>
      <c r="AG31" s="1"/>
      <c r="AH31" s="1"/>
    </row>
    <row r="32" spans="1:34" x14ac:dyDescent="0.3">
      <c r="A32" s="18" t="s">
        <v>72</v>
      </c>
      <c r="B32" s="17" t="s">
        <v>33</v>
      </c>
      <c r="C32" s="6" t="s">
        <v>109</v>
      </c>
      <c r="D32" s="27" t="e">
        <f t="shared" ref="D32:AE32" si="14">D7/D6</f>
        <v>#DIV/0!</v>
      </c>
      <c r="E32" s="27" t="e">
        <f t="shared" si="14"/>
        <v>#DIV/0!</v>
      </c>
      <c r="F32" s="27" t="e">
        <f t="shared" si="14"/>
        <v>#DIV/0!</v>
      </c>
      <c r="G32" s="27" t="e">
        <f t="shared" si="14"/>
        <v>#DIV/0!</v>
      </c>
      <c r="H32" s="27">
        <f t="shared" ref="H32:I32" si="15">H7/H6</f>
        <v>0.19125291388902707</v>
      </c>
      <c r="I32" s="27">
        <f t="shared" si="15"/>
        <v>0.32004072919023296</v>
      </c>
      <c r="J32" s="27">
        <f t="shared" si="14"/>
        <v>0.40511955741936445</v>
      </c>
      <c r="K32" s="27">
        <f t="shared" si="14"/>
        <v>0.30234294782040511</v>
      </c>
      <c r="L32" s="27">
        <f t="shared" si="14"/>
        <v>0.30943787974252124</v>
      </c>
      <c r="M32" s="27">
        <f t="shared" si="14"/>
        <v>0.2550163998648835</v>
      </c>
      <c r="N32" s="27">
        <f t="shared" si="14"/>
        <v>0.22676138014446579</v>
      </c>
      <c r="O32" s="27">
        <f t="shared" si="14"/>
        <v>0.25393855558922557</v>
      </c>
      <c r="P32" s="27">
        <f t="shared" si="14"/>
        <v>0.25196121396239507</v>
      </c>
      <c r="Q32" s="27">
        <f t="shared" si="14"/>
        <v>0.30831959294019862</v>
      </c>
      <c r="R32" s="27">
        <f t="shared" si="14"/>
        <v>0.18554760817382526</v>
      </c>
      <c r="S32" s="27">
        <f t="shared" si="14"/>
        <v>0.26821560931536054</v>
      </c>
      <c r="T32" s="27">
        <f t="shared" si="14"/>
        <v>0.28873025186010015</v>
      </c>
      <c r="U32" s="27">
        <f t="shared" si="14"/>
        <v>0.26321724554403103</v>
      </c>
      <c r="V32" s="27">
        <f t="shared" si="14"/>
        <v>0.26716870901186729</v>
      </c>
      <c r="W32" s="27">
        <f t="shared" si="14"/>
        <v>0.22039443900497213</v>
      </c>
      <c r="X32" s="27">
        <f t="shared" si="14"/>
        <v>0.21446550395093175</v>
      </c>
      <c r="Y32" s="27">
        <f t="shared" si="14"/>
        <v>0.24910930049339516</v>
      </c>
      <c r="Z32" s="27">
        <f t="shared" si="14"/>
        <v>0.25175679010779961</v>
      </c>
      <c r="AA32" s="27">
        <f t="shared" si="14"/>
        <v>0.2466707391569945</v>
      </c>
      <c r="AB32" s="27">
        <f t="shared" si="14"/>
        <v>0.2577126631205674</v>
      </c>
      <c r="AC32" s="27">
        <f t="shared" si="14"/>
        <v>0.22043838862559242</v>
      </c>
      <c r="AD32" s="27">
        <f t="shared" si="14"/>
        <v>0.20613718411552345</v>
      </c>
      <c r="AE32" s="27">
        <f t="shared" si="14"/>
        <v>0.22481742472773864</v>
      </c>
      <c r="AF32" s="27">
        <f t="shared" ref="AF32:AH32" si="16">AF7/AF6</f>
        <v>0.2292162639952858</v>
      </c>
      <c r="AG32" s="27">
        <f t="shared" si="16"/>
        <v>0.22957849725106902</v>
      </c>
      <c r="AH32" s="27">
        <f t="shared" si="16"/>
        <v>0.21360457724094087</v>
      </c>
    </row>
    <row r="33" spans="1:35" x14ac:dyDescent="0.3">
      <c r="A33" s="16" t="s">
        <v>73</v>
      </c>
      <c r="B33" s="2" t="s">
        <v>34</v>
      </c>
      <c r="C33" s="1" t="s">
        <v>110</v>
      </c>
      <c r="D33" s="28" t="e">
        <f t="shared" ref="D33:AE33" si="17">D8/D6</f>
        <v>#DIV/0!</v>
      </c>
      <c r="E33" s="28" t="e">
        <f t="shared" si="17"/>
        <v>#DIV/0!</v>
      </c>
      <c r="F33" s="28" t="e">
        <f t="shared" si="17"/>
        <v>#DIV/0!</v>
      </c>
      <c r="G33" s="28" t="e">
        <f t="shared" si="17"/>
        <v>#DIV/0!</v>
      </c>
      <c r="H33" s="28">
        <f t="shared" ref="H33:I33" si="18">H8/H6</f>
        <v>2.4366909263941347E-2</v>
      </c>
      <c r="I33" s="28">
        <f t="shared" si="18"/>
        <v>0.15313722702475158</v>
      </c>
      <c r="J33" s="28">
        <f t="shared" si="17"/>
        <v>0.27795158534691256</v>
      </c>
      <c r="K33" s="28">
        <f t="shared" si="17"/>
        <v>0.16442830282491042</v>
      </c>
      <c r="L33" s="28">
        <f t="shared" si="17"/>
        <v>0.17655240769193922</v>
      </c>
      <c r="M33" s="28">
        <f t="shared" si="17"/>
        <v>0.11090046351354861</v>
      </c>
      <c r="N33" s="28">
        <f t="shared" si="17"/>
        <v>9.5912776026571347E-2</v>
      </c>
      <c r="O33" s="28">
        <f t="shared" si="17"/>
        <v>0.12834438230141251</v>
      </c>
      <c r="P33" s="28">
        <f t="shared" si="17"/>
        <v>0.18409605037572238</v>
      </c>
      <c r="Q33" s="28">
        <f t="shared" si="17"/>
        <v>0.24263551172510336</v>
      </c>
      <c r="R33" s="28">
        <f t="shared" si="17"/>
        <v>0.11718734352581313</v>
      </c>
      <c r="S33" s="28">
        <f t="shared" si="17"/>
        <v>0.16599364710995174</v>
      </c>
      <c r="T33" s="28">
        <f t="shared" si="17"/>
        <v>0.20103706780383154</v>
      </c>
      <c r="U33" s="28">
        <f t="shared" si="17"/>
        <v>0.17931882269047422</v>
      </c>
      <c r="V33" s="28">
        <f t="shared" si="17"/>
        <v>0.1909796021681528</v>
      </c>
      <c r="W33" s="28">
        <f t="shared" si="17"/>
        <v>0.15305714406436605</v>
      </c>
      <c r="X33" s="28">
        <f t="shared" si="17"/>
        <v>0.1419520564734662</v>
      </c>
      <c r="Y33" s="28">
        <f t="shared" si="17"/>
        <v>0.17416579241917024</v>
      </c>
      <c r="Z33" s="28">
        <f t="shared" si="17"/>
        <v>0.14607440393151552</v>
      </c>
      <c r="AA33" s="28">
        <f t="shared" si="17"/>
        <v>0.15580307574832009</v>
      </c>
      <c r="AB33" s="28">
        <f t="shared" si="17"/>
        <v>0.17917257683215132</v>
      </c>
      <c r="AC33" s="28">
        <f t="shared" si="17"/>
        <v>0.13838270142180095</v>
      </c>
      <c r="AD33" s="28">
        <f t="shared" si="17"/>
        <v>0.10139350180505416</v>
      </c>
      <c r="AE33" s="28">
        <f t="shared" si="17"/>
        <v>0.14226777706598334</v>
      </c>
      <c r="AF33" s="28">
        <f t="shared" ref="AF33:AG33" si="19">AF8/AF6</f>
        <v>0.15230995875073661</v>
      </c>
      <c r="AG33" s="28">
        <f t="shared" si="19"/>
        <v>0.14887599266951743</v>
      </c>
      <c r="AH33" s="28"/>
    </row>
    <row r="34" spans="1:35" x14ac:dyDescent="0.3">
      <c r="A34" s="18" t="s">
        <v>74</v>
      </c>
      <c r="B34" s="17" t="s">
        <v>35</v>
      </c>
      <c r="C34" s="6" t="s">
        <v>54</v>
      </c>
      <c r="D34" s="27" t="e">
        <f t="shared" ref="D34:AE34" si="20">D11/D10</f>
        <v>#DIV/0!</v>
      </c>
      <c r="E34" s="27" t="e">
        <f t="shared" si="20"/>
        <v>#DIV/0!</v>
      </c>
      <c r="F34" s="27" t="e">
        <f t="shared" si="20"/>
        <v>#DIV/0!</v>
      </c>
      <c r="G34" s="27" t="e">
        <f t="shared" si="20"/>
        <v>#DIV/0!</v>
      </c>
      <c r="H34" s="27">
        <f t="shared" ref="H34:I34" si="21">H11/H10</f>
        <v>8.6892814425193823E-2</v>
      </c>
      <c r="I34" s="27">
        <f t="shared" si="21"/>
        <v>0.3947946172439783</v>
      </c>
      <c r="J34" s="27">
        <f t="shared" si="20"/>
        <v>0.34690171489266924</v>
      </c>
      <c r="K34" s="27">
        <f t="shared" si="20"/>
        <v>0.36580841367378064</v>
      </c>
      <c r="L34" s="27">
        <f t="shared" si="20"/>
        <v>0.34520443427135228</v>
      </c>
      <c r="M34" s="27">
        <f t="shared" si="20"/>
        <v>4.7075931681446211E-5</v>
      </c>
      <c r="N34" s="27">
        <f t="shared" si="20"/>
        <v>0.27745018139275357</v>
      </c>
      <c r="O34" s="27">
        <f t="shared" si="20"/>
        <v>0.26160456064195459</v>
      </c>
      <c r="P34" s="27">
        <f t="shared" si="20"/>
        <v>0.31819808294115259</v>
      </c>
      <c r="Q34" s="27">
        <f t="shared" si="20"/>
        <v>0.33856120687530572</v>
      </c>
      <c r="R34" s="27">
        <f t="shared" si="20"/>
        <v>0.18838115485337845</v>
      </c>
      <c r="S34" s="27">
        <f t="shared" si="20"/>
        <v>0.14734951199633053</v>
      </c>
      <c r="T34" s="27">
        <f t="shared" si="20"/>
        <v>0.18296570043003438</v>
      </c>
      <c r="U34" s="27">
        <f t="shared" si="20"/>
        <v>0.21588295639011171</v>
      </c>
      <c r="V34" s="27">
        <f t="shared" si="20"/>
        <v>0.21928409255145059</v>
      </c>
      <c r="W34" s="27">
        <f t="shared" si="20"/>
        <v>4.3357091551345046E-2</v>
      </c>
      <c r="X34" s="27">
        <f t="shared" si="20"/>
        <v>1.4419126624049376E-2</v>
      </c>
      <c r="Y34" s="27">
        <f t="shared" si="20"/>
        <v>0.15403945484317477</v>
      </c>
      <c r="Z34" s="27">
        <f t="shared" si="20"/>
        <v>-3.467366632251314E-2</v>
      </c>
      <c r="AA34" s="27">
        <f t="shared" si="20"/>
        <v>0.160028710424446</v>
      </c>
      <c r="AB34" s="27">
        <f t="shared" si="20"/>
        <v>0.19784800655574161</v>
      </c>
      <c r="AC34" s="27">
        <f t="shared" si="20"/>
        <v>0.21612557641250174</v>
      </c>
      <c r="AD34" s="27">
        <f t="shared" si="20"/>
        <v>0.13138221727373947</v>
      </c>
      <c r="AE34" s="27">
        <f t="shared" si="20"/>
        <v>0.20917665553153861</v>
      </c>
      <c r="AF34" s="27">
        <f t="shared" ref="AF34:AG34" si="22">AF11/AF10</f>
        <v>0.21236315746151949</v>
      </c>
      <c r="AG34" s="27">
        <f t="shared" si="22"/>
        <v>0.21957394796577612</v>
      </c>
      <c r="AH34" s="27"/>
    </row>
    <row r="35" spans="1:35" x14ac:dyDescent="0.3">
      <c r="A35" s="16" t="s">
        <v>75</v>
      </c>
      <c r="B35" s="2" t="s">
        <v>36</v>
      </c>
      <c r="C35" s="1" t="s">
        <v>108</v>
      </c>
      <c r="D35" s="28" t="e">
        <f t="shared" ref="D35:AE35" si="23">D12/D6</f>
        <v>#DIV/0!</v>
      </c>
      <c r="E35" s="28" t="e">
        <f t="shared" si="23"/>
        <v>#DIV/0!</v>
      </c>
      <c r="F35" s="28" t="e">
        <f t="shared" si="23"/>
        <v>#DIV/0!</v>
      </c>
      <c r="G35" s="28" t="e">
        <f t="shared" si="23"/>
        <v>#DIV/0!</v>
      </c>
      <c r="H35" s="28">
        <f t="shared" ref="H35:I35" si="24">H12/H6</f>
        <v>1.6220890794676042E-2</v>
      </c>
      <c r="I35" s="28">
        <f t="shared" si="24"/>
        <v>6.3839135523955759E-2</v>
      </c>
      <c r="J35" s="28">
        <f t="shared" si="23"/>
        <v>0.1428143513279638</v>
      </c>
      <c r="K35" s="28">
        <f t="shared" si="23"/>
        <v>6.8293909554860865E-2</v>
      </c>
      <c r="L35" s="28">
        <f t="shared" si="23"/>
        <v>8.2429688910505117E-2</v>
      </c>
      <c r="M35" s="28">
        <f t="shared" si="23"/>
        <v>6.6798718392033718E-2</v>
      </c>
      <c r="N35" s="28">
        <f t="shared" si="23"/>
        <v>5.2424096176807163E-2</v>
      </c>
      <c r="O35" s="28">
        <f t="shared" si="23"/>
        <v>6.1725054917365373E-2</v>
      </c>
      <c r="P35" s="28">
        <f t="shared" si="23"/>
        <v>0.10963585873924758</v>
      </c>
      <c r="Q35" s="28">
        <f t="shared" si="23"/>
        <v>0.14350957491100183</v>
      </c>
      <c r="R35" s="28">
        <f t="shared" si="23"/>
        <v>0.11629510744421165</v>
      </c>
      <c r="S35" s="28">
        <f t="shared" si="23"/>
        <v>9.6291244414412974E-2</v>
      </c>
      <c r="T35" s="28">
        <f t="shared" si="23"/>
        <v>0.15238826732154936</v>
      </c>
      <c r="U35" s="28">
        <f t="shared" si="23"/>
        <v>0.13227525319445474</v>
      </c>
      <c r="V35" s="28">
        <f t="shared" si="23"/>
        <v>0.14091474304909404</v>
      </c>
      <c r="W35" s="28">
        <f t="shared" si="23"/>
        <v>0.13755756791734802</v>
      </c>
      <c r="X35" s="28">
        <f t="shared" si="23"/>
        <v>0.1180152133876269</v>
      </c>
      <c r="Y35" s="28">
        <f t="shared" si="23"/>
        <v>0.12115339283008494</v>
      </c>
      <c r="Z35" s="28">
        <f t="shared" si="23"/>
        <v>0.13792010145846545</v>
      </c>
      <c r="AA35" s="28">
        <f t="shared" si="23"/>
        <v>0.1269211973121564</v>
      </c>
      <c r="AB35" s="28">
        <f t="shared" si="23"/>
        <v>0.13306146572104019</v>
      </c>
      <c r="AC35" s="28">
        <f t="shared" si="23"/>
        <v>9.9703791469194322E-2</v>
      </c>
      <c r="AD35" s="28">
        <f t="shared" si="23"/>
        <v>7.8851985559566781E-2</v>
      </c>
      <c r="AE35" s="28">
        <f t="shared" si="23"/>
        <v>0.10320948110185779</v>
      </c>
      <c r="AF35" s="28">
        <f t="shared" ref="AF35:AG35" si="25">AF12/AF6</f>
        <v>0.11041838538597525</v>
      </c>
      <c r="AG35" s="28">
        <f t="shared" si="25"/>
        <v>0.10908979841172878</v>
      </c>
      <c r="AH35" s="28"/>
    </row>
    <row r="36" spans="1:35" x14ac:dyDescent="0.3">
      <c r="A36" s="18" t="s">
        <v>76</v>
      </c>
      <c r="B36" s="17" t="s">
        <v>37</v>
      </c>
      <c r="C36" s="6" t="s">
        <v>56</v>
      </c>
      <c r="D36" s="29" t="e">
        <f t="shared" ref="D36:G36" si="26">D26/D12</f>
        <v>#DIV/0!</v>
      </c>
      <c r="E36" s="29" t="e">
        <f t="shared" si="26"/>
        <v>#DIV/0!</v>
      </c>
      <c r="F36" s="29" t="e">
        <f t="shared" si="26"/>
        <v>#DIV/0!</v>
      </c>
      <c r="G36" s="29" t="e">
        <f t="shared" si="26"/>
        <v>#DIV/0!</v>
      </c>
      <c r="H36" s="29">
        <f t="shared" ref="H36:AG36" si="27">IF(H26/H12&lt;0,0,H26/H12)</f>
        <v>117.41201930839695</v>
      </c>
      <c r="I36" s="29">
        <f t="shared" si="27"/>
        <v>36.567519059964113</v>
      </c>
      <c r="J36" s="29">
        <f t="shared" si="27"/>
        <v>8.1663170978016009</v>
      </c>
      <c r="K36" s="29">
        <f t="shared" si="27"/>
        <v>12.622873082287306</v>
      </c>
      <c r="L36" s="29">
        <f t="shared" si="27"/>
        <v>9.9425608475068703</v>
      </c>
      <c r="M36" s="29">
        <f t="shared" si="27"/>
        <v>16.06523040095751</v>
      </c>
      <c r="N36" s="29">
        <f t="shared" si="27"/>
        <v>21.385252175897399</v>
      </c>
      <c r="O36" s="29">
        <f t="shared" si="27"/>
        <v>20.285766781786116</v>
      </c>
      <c r="P36" s="29">
        <f t="shared" si="27"/>
        <v>14.767449729781662</v>
      </c>
      <c r="Q36" s="29">
        <f t="shared" si="27"/>
        <v>11.108645784955062</v>
      </c>
      <c r="R36" s="29">
        <f t="shared" si="27"/>
        <v>8.9105697006496847</v>
      </c>
      <c r="S36" s="29">
        <f t="shared" si="27"/>
        <v>14.201303698344722</v>
      </c>
      <c r="T36" s="29">
        <f t="shared" si="27"/>
        <v>8.1318106893799502</v>
      </c>
      <c r="U36" s="29">
        <f t="shared" si="27"/>
        <v>7.0148085184687394</v>
      </c>
      <c r="V36" s="29">
        <f t="shared" si="27"/>
        <v>7.8883121216075089</v>
      </c>
      <c r="W36" s="29">
        <f t="shared" si="27"/>
        <v>9.9598249416150217</v>
      </c>
      <c r="X36" s="29">
        <f t="shared" si="27"/>
        <v>12.192478691877872</v>
      </c>
      <c r="Y36" s="29">
        <f t="shared" si="27"/>
        <v>13.1035761437921</v>
      </c>
      <c r="Z36" s="29">
        <f t="shared" si="27"/>
        <v>10.770747126436783</v>
      </c>
      <c r="AA36" s="29">
        <f t="shared" si="27"/>
        <v>14.673359965346295</v>
      </c>
      <c r="AB36" s="29">
        <f t="shared" si="27"/>
        <v>11.473660833259306</v>
      </c>
      <c r="AC36" s="29">
        <f t="shared" si="27"/>
        <v>15.297500891265596</v>
      </c>
      <c r="AD36" s="29">
        <f t="shared" si="27"/>
        <v>16.26707847266734</v>
      </c>
      <c r="AE36" s="29">
        <f t="shared" si="27"/>
        <v>14.856982806777975</v>
      </c>
      <c r="AF36" s="29">
        <f t="shared" si="27"/>
        <v>13.341679154658983</v>
      </c>
      <c r="AG36" s="29">
        <f t="shared" si="27"/>
        <v>13.999125545973794</v>
      </c>
      <c r="AH36" s="29"/>
    </row>
    <row r="37" spans="1:35" x14ac:dyDescent="0.3">
      <c r="A37" s="16" t="s">
        <v>77</v>
      </c>
      <c r="B37" s="2" t="s">
        <v>38</v>
      </c>
      <c r="C37" s="1" t="s">
        <v>57</v>
      </c>
      <c r="D37" s="30" t="e">
        <f t="shared" ref="D37:AE37" si="28">D26/D23</f>
        <v>#DIV/0!</v>
      </c>
      <c r="E37" s="30" t="e">
        <f t="shared" si="28"/>
        <v>#DIV/0!</v>
      </c>
      <c r="F37" s="30" t="e">
        <f t="shared" si="28"/>
        <v>#DIV/0!</v>
      </c>
      <c r="G37" s="30" t="e">
        <f t="shared" si="28"/>
        <v>#DIV/0!</v>
      </c>
      <c r="H37" s="30">
        <f t="shared" ref="H37:I37" si="29">H26/H23</f>
        <v>0.91792160542529366</v>
      </c>
      <c r="I37" s="30">
        <f t="shared" si="29"/>
        <v>1.1083438522470799</v>
      </c>
      <c r="J37" s="30">
        <f t="shared" si="28"/>
        <v>1.045193105951014</v>
      </c>
      <c r="K37" s="30">
        <f t="shared" si="28"/>
        <v>0.91031616553982686</v>
      </c>
      <c r="L37" s="30">
        <f t="shared" si="28"/>
        <v>0.32593377359230141</v>
      </c>
      <c r="M37" s="30">
        <f t="shared" si="28"/>
        <v>0.39456167754485477</v>
      </c>
      <c r="N37" s="30">
        <f t="shared" si="28"/>
        <v>1.0872450831524159</v>
      </c>
      <c r="O37" s="30">
        <f t="shared" si="28"/>
        <v>1.2456593740652129</v>
      </c>
      <c r="P37" s="30">
        <f t="shared" si="28"/>
        <v>1.6382881715572652</v>
      </c>
      <c r="Q37" s="30">
        <f t="shared" si="28"/>
        <v>1.4541279692906564</v>
      </c>
      <c r="R37" s="30">
        <f t="shared" si="28"/>
        <v>0.93716206042627903</v>
      </c>
      <c r="S37" s="30">
        <f t="shared" si="28"/>
        <v>1.1746320000414761</v>
      </c>
      <c r="T37" s="30">
        <f t="shared" si="28"/>
        <v>1.3137387818465933</v>
      </c>
      <c r="U37" s="30">
        <f t="shared" si="28"/>
        <v>0.93172003388428315</v>
      </c>
      <c r="V37" s="30">
        <f t="shared" si="28"/>
        <v>1.124882822764492</v>
      </c>
      <c r="W37" s="30">
        <f t="shared" si="28"/>
        <v>1.4136791027385258</v>
      </c>
      <c r="X37" s="30">
        <f t="shared" si="28"/>
        <v>1.5220598545658182</v>
      </c>
      <c r="Y37" s="30">
        <f t="shared" si="28"/>
        <v>2.1386297279362974</v>
      </c>
      <c r="Z37" s="30">
        <f t="shared" si="28"/>
        <v>1.9030361494719743</v>
      </c>
      <c r="AA37" s="30">
        <f t="shared" si="28"/>
        <v>2.5738151118615447</v>
      </c>
      <c r="AB37" s="30">
        <f t="shared" si="28"/>
        <v>2.1773263654753876</v>
      </c>
      <c r="AC37" s="30">
        <f t="shared" si="28"/>
        <v>2.5066394703534223</v>
      </c>
      <c r="AD37" s="30">
        <f t="shared" si="28"/>
        <v>1.7316772005068719</v>
      </c>
      <c r="AE37" s="30">
        <f t="shared" si="28"/>
        <v>2.306425611871266</v>
      </c>
      <c r="AF37" s="1"/>
      <c r="AG37" s="1"/>
      <c r="AH37" s="1"/>
    </row>
    <row r="38" spans="1:35" x14ac:dyDescent="0.3">
      <c r="A38" s="18" t="s">
        <v>78</v>
      </c>
      <c r="B38" s="17" t="s">
        <v>39</v>
      </c>
      <c r="C38" s="6" t="s">
        <v>106</v>
      </c>
      <c r="D38" s="55" t="e">
        <f t="shared" ref="D38:AD38" si="30">D8/D23</f>
        <v>#DIV/0!</v>
      </c>
      <c r="E38" s="55" t="e">
        <f t="shared" si="30"/>
        <v>#DIV/0!</v>
      </c>
      <c r="F38" s="55" t="e">
        <f t="shared" si="30"/>
        <v>#DIV/0!</v>
      </c>
      <c r="G38" s="55" t="e">
        <f t="shared" si="30"/>
        <v>#DIV/0!</v>
      </c>
      <c r="H38" s="55">
        <f t="shared" ref="H38:I38" si="31">H8/H23</f>
        <v>1.1744074036029705E-2</v>
      </c>
      <c r="I38" s="55">
        <f t="shared" si="31"/>
        <v>7.2706426810728988E-2</v>
      </c>
      <c r="J38" s="55">
        <f t="shared" si="30"/>
        <v>0.24909648586441574</v>
      </c>
      <c r="K38" s="55">
        <f t="shared" si="30"/>
        <v>0.17363154856139348</v>
      </c>
      <c r="L38" s="55">
        <f t="shared" si="30"/>
        <v>7.0213575787148819E-2</v>
      </c>
      <c r="M38" s="55">
        <f t="shared" si="30"/>
        <v>4.0774925307762146E-2</v>
      </c>
      <c r="N38" s="55">
        <f t="shared" si="30"/>
        <v>9.3016198412282175E-2</v>
      </c>
      <c r="O38" s="55">
        <f t="shared" si="30"/>
        <v>0.12768011097605425</v>
      </c>
      <c r="P38" s="55">
        <f t="shared" si="30"/>
        <v>0.18628446680458996</v>
      </c>
      <c r="Q38" s="55">
        <f t="shared" si="30"/>
        <v>0.22131711220218928</v>
      </c>
      <c r="R38" s="55">
        <f t="shared" si="30"/>
        <v>0.10598111689693504</v>
      </c>
      <c r="S38" s="55">
        <f t="shared" si="30"/>
        <v>0.1425864579748477</v>
      </c>
      <c r="T38" s="55">
        <f t="shared" si="30"/>
        <v>0.21313087659431468</v>
      </c>
      <c r="U38" s="55">
        <f t="shared" si="30"/>
        <v>0.18005985267417476</v>
      </c>
      <c r="V38" s="55">
        <f t="shared" si="30"/>
        <v>0.19326523984318819</v>
      </c>
      <c r="W38" s="55">
        <f t="shared" si="30"/>
        <v>0.15793131440151439</v>
      </c>
      <c r="X38" s="55">
        <f t="shared" si="30"/>
        <v>0.15015625169636126</v>
      </c>
      <c r="Y38" s="55">
        <f t="shared" si="30"/>
        <v>0.23462432813536829</v>
      </c>
      <c r="Z38" s="55">
        <f t="shared" si="30"/>
        <v>0.18713187246141347</v>
      </c>
      <c r="AA38" s="55">
        <f t="shared" si="30"/>
        <v>0.21532261291684254</v>
      </c>
      <c r="AB38" s="55">
        <f t="shared" si="30"/>
        <v>0.25552933243425491</v>
      </c>
      <c r="AC38" s="55">
        <f t="shared" si="30"/>
        <v>0.22742673546879566</v>
      </c>
      <c r="AD38" s="55">
        <f t="shared" si="30"/>
        <v>0.13688468661662931</v>
      </c>
      <c r="AE38" s="55">
        <f t="shared" ref="AE38" si="32">AE8/AE23</f>
        <v>0.21399113509346698</v>
      </c>
      <c r="AF38" s="1"/>
      <c r="AG38" s="1"/>
      <c r="AH38" s="1"/>
    </row>
    <row r="39" spans="1:35" x14ac:dyDescent="0.3">
      <c r="A39" s="16" t="s">
        <v>79</v>
      </c>
      <c r="B39" s="2" t="s">
        <v>40</v>
      </c>
      <c r="C39" s="1" t="s">
        <v>107</v>
      </c>
      <c r="D39" s="56" t="e">
        <f t="shared" ref="D39:AD39" si="33">D12/D23</f>
        <v>#DIV/0!</v>
      </c>
      <c r="E39" s="56" t="e">
        <f t="shared" si="33"/>
        <v>#DIV/0!</v>
      </c>
      <c r="F39" s="56" t="e">
        <f t="shared" si="33"/>
        <v>#DIV/0!</v>
      </c>
      <c r="G39" s="56" t="e">
        <f t="shared" si="33"/>
        <v>#DIV/0!</v>
      </c>
      <c r="H39" s="56">
        <f t="shared" ref="H39:I39" si="34">H12/H23</f>
        <v>7.8179526323813656E-3</v>
      </c>
      <c r="I39" s="56">
        <f t="shared" si="34"/>
        <v>3.0309517318623577E-2</v>
      </c>
      <c r="J39" s="56">
        <f t="shared" si="33"/>
        <v>0.12798830775655079</v>
      </c>
      <c r="K39" s="56">
        <f t="shared" si="33"/>
        <v>7.2116400094143593E-2</v>
      </c>
      <c r="L39" s="56">
        <f t="shared" si="33"/>
        <v>3.2781672507845937E-2</v>
      </c>
      <c r="M39" s="56">
        <f t="shared" si="33"/>
        <v>2.45599762777967E-2</v>
      </c>
      <c r="N39" s="56">
        <f t="shared" si="33"/>
        <v>5.0840882034480443E-2</v>
      </c>
      <c r="O39" s="56">
        <f t="shared" si="33"/>
        <v>6.1405584884454405E-2</v>
      </c>
      <c r="P39" s="56">
        <f t="shared" si="33"/>
        <v>0.11093913990127309</v>
      </c>
      <c r="Q39" s="56">
        <f t="shared" si="33"/>
        <v>0.1309005613681595</v>
      </c>
      <c r="R39" s="56">
        <f t="shared" si="33"/>
        <v>0.10517420231368023</v>
      </c>
      <c r="S39" s="56">
        <f t="shared" si="33"/>
        <v>8.2712969526761757E-2</v>
      </c>
      <c r="T39" s="56">
        <f t="shared" si="33"/>
        <v>0.16155550492122508</v>
      </c>
      <c r="U39" s="56">
        <f t="shared" si="33"/>
        <v>0.13282187695234024</v>
      </c>
      <c r="V39" s="56">
        <f t="shared" si="33"/>
        <v>0.14260120611648153</v>
      </c>
      <c r="W39" s="56">
        <f t="shared" si="33"/>
        <v>0.14193814761058368</v>
      </c>
      <c r="X39" s="56">
        <f t="shared" si="33"/>
        <v>0.12483596592871242</v>
      </c>
      <c r="Y39" s="56">
        <f t="shared" si="33"/>
        <v>0.16320962342402126</v>
      </c>
      <c r="Z39" s="56">
        <f t="shared" si="33"/>
        <v>0.17668562144597888</v>
      </c>
      <c r="AA39" s="56">
        <f t="shared" si="33"/>
        <v>0.1754073448712537</v>
      </c>
      <c r="AB39" s="56">
        <f t="shared" si="33"/>
        <v>0.1897673634524612</v>
      </c>
      <c r="AC39" s="56">
        <f t="shared" si="33"/>
        <v>0.16385940998929027</v>
      </c>
      <c r="AD39" s="56">
        <f t="shared" si="33"/>
        <v>0.10645287065016082</v>
      </c>
      <c r="AE39" s="56">
        <f t="shared" ref="AE39" si="35">AE12/AE23</f>
        <v>0.15524185777606478</v>
      </c>
      <c r="AF39" s="1"/>
      <c r="AG39" s="1"/>
      <c r="AH39" s="1"/>
    </row>
    <row r="40" spans="1:35" x14ac:dyDescent="0.3">
      <c r="A40" s="18" t="s">
        <v>80</v>
      </c>
      <c r="B40" s="17" t="s">
        <v>41</v>
      </c>
      <c r="C40" s="6" t="s">
        <v>61</v>
      </c>
      <c r="D40" s="7">
        <f t="shared" ref="D40:AD40" si="36">D20-D19</f>
        <v>0</v>
      </c>
      <c r="E40" s="7">
        <f t="shared" si="36"/>
        <v>0</v>
      </c>
      <c r="F40" s="7">
        <f t="shared" si="36"/>
        <v>0</v>
      </c>
      <c r="G40" s="7">
        <f t="shared" si="36"/>
        <v>0</v>
      </c>
      <c r="H40" s="7">
        <f t="shared" ref="H40:I40" si="37">H20-H19</f>
        <v>177.13195499999998</v>
      </c>
      <c r="I40" s="7">
        <f t="shared" si="37"/>
        <v>294.14303999999998</v>
      </c>
      <c r="J40" s="7">
        <f t="shared" si="36"/>
        <v>106.42500000000001</v>
      </c>
      <c r="K40" s="7">
        <f t="shared" si="36"/>
        <v>-206.27600000000007</v>
      </c>
      <c r="L40" s="7">
        <f t="shared" si="36"/>
        <v>459.37799999999993</v>
      </c>
      <c r="M40" s="7">
        <f t="shared" si="36"/>
        <v>414.16000000000031</v>
      </c>
      <c r="N40" s="7">
        <f t="shared" si="36"/>
        <v>152.55112400000002</v>
      </c>
      <c r="O40" s="7">
        <f t="shared" si="36"/>
        <v>205.42868000000004</v>
      </c>
      <c r="P40" s="7">
        <f>P20-Q19</f>
        <v>258.33286499999997</v>
      </c>
      <c r="Q40" s="7">
        <f>Q20-P19</f>
        <v>641.96738600000003</v>
      </c>
      <c r="R40" s="7">
        <f t="shared" si="36"/>
        <v>405.78167599999995</v>
      </c>
      <c r="S40" s="7">
        <f t="shared" si="36"/>
        <v>-239.933762</v>
      </c>
      <c r="T40" s="7">
        <f t="shared" si="36"/>
        <v>146.50771199999997</v>
      </c>
      <c r="U40" s="7">
        <f t="shared" si="36"/>
        <v>224.41181499999993</v>
      </c>
      <c r="V40" s="7">
        <f t="shared" si="36"/>
        <v>240.31094700000006</v>
      </c>
      <c r="W40" s="7">
        <f t="shared" si="36"/>
        <v>607.72697500000004</v>
      </c>
      <c r="X40" s="7">
        <f t="shared" si="36"/>
        <v>329.57365000000004</v>
      </c>
      <c r="Y40" s="7">
        <f t="shared" si="36"/>
        <v>215.21724000000006</v>
      </c>
      <c r="Z40" s="7">
        <f t="shared" si="36"/>
        <v>155.29550799999998</v>
      </c>
      <c r="AA40" s="7">
        <f t="shared" si="36"/>
        <v>172.62015100000002</v>
      </c>
      <c r="AB40" s="7">
        <f t="shared" si="36"/>
        <v>164.30000000000007</v>
      </c>
      <c r="AC40" s="7">
        <f t="shared" si="36"/>
        <v>172.29999999999995</v>
      </c>
      <c r="AD40" s="7">
        <f t="shared" si="36"/>
        <v>77.699999999999932</v>
      </c>
      <c r="AE40" s="7">
        <f t="shared" ref="AE40" si="38">AE20-AE19</f>
        <v>245.20000000000005</v>
      </c>
      <c r="AF40" s="1"/>
      <c r="AG40" s="1"/>
      <c r="AH40" s="1"/>
    </row>
    <row r="41" spans="1:35" x14ac:dyDescent="0.3">
      <c r="A41" s="53" t="s">
        <v>96</v>
      </c>
      <c r="B41" s="49" t="s">
        <v>42</v>
      </c>
      <c r="C41" s="52" t="s">
        <v>98</v>
      </c>
      <c r="D41" s="29" t="e">
        <f t="shared" ref="D41:AD41" si="39">D20/D19</f>
        <v>#DIV/0!</v>
      </c>
      <c r="E41" s="29" t="e">
        <f t="shared" si="39"/>
        <v>#DIV/0!</v>
      </c>
      <c r="F41" s="29" t="e">
        <f t="shared" si="39"/>
        <v>#DIV/0!</v>
      </c>
      <c r="G41" s="29" t="e">
        <f t="shared" si="39"/>
        <v>#DIV/0!</v>
      </c>
      <c r="H41" s="29">
        <f t="shared" ref="H41:I41" si="40">H20/H19</f>
        <v>2.4603529434509643</v>
      </c>
      <c r="I41" s="29">
        <f t="shared" si="40"/>
        <v>5.2801391532865196</v>
      </c>
      <c r="J41" s="29">
        <f t="shared" si="39"/>
        <v>1.3073628455575708</v>
      </c>
      <c r="K41" s="29">
        <f t="shared" si="39"/>
        <v>0.81898246303758715</v>
      </c>
      <c r="L41" s="29">
        <f t="shared" si="39"/>
        <v>1.8392213173153862</v>
      </c>
      <c r="M41" s="29">
        <f t="shared" si="39"/>
        <v>1.6807855926464115</v>
      </c>
      <c r="N41" s="29">
        <f t="shared" si="39"/>
        <v>1.440260979128932</v>
      </c>
      <c r="O41" s="29">
        <f t="shared" si="39"/>
        <v>1.7393903320236292</v>
      </c>
      <c r="P41" s="29">
        <f t="shared" si="39"/>
        <v>2.7677454922643863</v>
      </c>
      <c r="Q41" s="29">
        <f t="shared" si="39"/>
        <v>2.1888501702150966</v>
      </c>
      <c r="R41" s="29">
        <f t="shared" si="39"/>
        <v>2.3360915837641141</v>
      </c>
      <c r="S41" s="29">
        <f t="shared" si="39"/>
        <v>0.636144157209246</v>
      </c>
      <c r="T41" s="29">
        <f t="shared" si="39"/>
        <v>1.3613740662440752</v>
      </c>
      <c r="U41" s="29">
        <f t="shared" si="39"/>
        <v>1.4244981514239601</v>
      </c>
      <c r="V41" s="29">
        <f t="shared" si="39"/>
        <v>1.433626093760491</v>
      </c>
      <c r="W41" s="29">
        <f t="shared" si="39"/>
        <v>2.6277463461508797</v>
      </c>
      <c r="X41" s="29">
        <f t="shared" si="39"/>
        <v>1.5397743632539953</v>
      </c>
      <c r="Y41" s="29">
        <f t="shared" si="39"/>
        <v>1.6274397583563873</v>
      </c>
      <c r="Z41" s="29">
        <f t="shared" si="39"/>
        <v>1.381907015203762</v>
      </c>
      <c r="AA41" s="29">
        <f t="shared" si="39"/>
        <v>1.3808184785724293</v>
      </c>
      <c r="AB41" s="29">
        <f t="shared" si="39"/>
        <v>1.3121200607902737</v>
      </c>
      <c r="AC41" s="29">
        <f t="shared" si="39"/>
        <v>1.3589583333333333</v>
      </c>
      <c r="AD41" s="29">
        <f t="shared" si="39"/>
        <v>1.1220354955237946</v>
      </c>
      <c r="AE41" s="29">
        <f t="shared" ref="AE41" si="41">AE20/AE19</f>
        <v>1.5462241033637782</v>
      </c>
      <c r="AF41" s="1"/>
      <c r="AG41" s="1"/>
      <c r="AH41" s="1"/>
    </row>
    <row r="42" spans="1:35" x14ac:dyDescent="0.3">
      <c r="A42" s="16" t="s">
        <v>81</v>
      </c>
      <c r="B42" s="17" t="s">
        <v>43</v>
      </c>
      <c r="C42" s="1" t="s">
        <v>60</v>
      </c>
      <c r="D42" s="30" t="e">
        <f t="shared" ref="D42:AD42" si="42">(D20-D21)/D19</f>
        <v>#DIV/0!</v>
      </c>
      <c r="E42" s="30" t="e">
        <f t="shared" si="42"/>
        <v>#DIV/0!</v>
      </c>
      <c r="F42" s="30" t="e">
        <f t="shared" si="42"/>
        <v>#DIV/0!</v>
      </c>
      <c r="G42" s="30" t="e">
        <f t="shared" si="42"/>
        <v>#DIV/0!</v>
      </c>
      <c r="H42" s="30">
        <f t="shared" ref="H42:I42" si="43">(H20-H21)/H19</f>
        <v>1.979412614488927</v>
      </c>
      <c r="I42" s="30">
        <f t="shared" si="43"/>
        <v>4.6825363207466522</v>
      </c>
      <c r="J42" s="30">
        <f t="shared" si="42"/>
        <v>1.1011402100204477</v>
      </c>
      <c r="K42" s="30">
        <f t="shared" si="42"/>
        <v>0.66489343030847636</v>
      </c>
      <c r="L42" s="30">
        <f t="shared" si="42"/>
        <v>1.5190943867764246</v>
      </c>
      <c r="M42" s="30">
        <f t="shared" si="42"/>
        <v>1.3954049931290236</v>
      </c>
      <c r="N42" s="30">
        <f t="shared" si="42"/>
        <v>1.0243362383763805</v>
      </c>
      <c r="O42" s="30">
        <f t="shared" si="42"/>
        <v>1.2674828389111468</v>
      </c>
      <c r="P42" s="30">
        <f>(P20-P21)/Q19</f>
        <v>1.3498909711479565</v>
      </c>
      <c r="Q42" s="30">
        <f>(Q20-Q21)/R19</f>
        <v>2.432727678080767</v>
      </c>
      <c r="R42" s="30">
        <f t="shared" si="42"/>
        <v>1.8511888887476711</v>
      </c>
      <c r="S42" s="30">
        <f t="shared" si="42"/>
        <v>0.27170580085715074</v>
      </c>
      <c r="T42" s="30">
        <f t="shared" si="42"/>
        <v>0.93490190363687076</v>
      </c>
      <c r="U42" s="30">
        <f t="shared" si="42"/>
        <v>1.0675697549512733</v>
      </c>
      <c r="V42" s="30">
        <f t="shared" si="42"/>
        <v>1.0503857857684817</v>
      </c>
      <c r="W42" s="30">
        <f t="shared" si="42"/>
        <v>2.0842272463488816</v>
      </c>
      <c r="X42" s="30">
        <f t="shared" si="42"/>
        <v>1.2304605068774153</v>
      </c>
      <c r="Y42" s="30">
        <f t="shared" si="42"/>
        <v>1.0077615660791679</v>
      </c>
      <c r="Z42" s="30">
        <f t="shared" si="42"/>
        <v>0.86820269832168828</v>
      </c>
      <c r="AA42" s="30">
        <f t="shared" si="42"/>
        <v>0.96652135070985379</v>
      </c>
      <c r="AB42" s="30">
        <f t="shared" si="42"/>
        <v>0.88962765957446821</v>
      </c>
      <c r="AC42" s="30">
        <f t="shared" si="42"/>
        <v>0.90499999999999992</v>
      </c>
      <c r="AD42" s="30">
        <f t="shared" si="42"/>
        <v>0.84451075859902625</v>
      </c>
      <c r="AE42" s="30">
        <f t="shared" ref="AE42" si="44">(AE20-AE21)/AE19</f>
        <v>1.1202940521274227</v>
      </c>
      <c r="AF42" s="1"/>
      <c r="AG42" s="1"/>
      <c r="AH42" s="1"/>
    </row>
    <row r="43" spans="1:35" x14ac:dyDescent="0.3">
      <c r="A43" s="18" t="s">
        <v>82</v>
      </c>
      <c r="B43" s="49" t="s">
        <v>44</v>
      </c>
      <c r="C43" s="6" t="s">
        <v>62</v>
      </c>
      <c r="D43" s="29" t="e">
        <f t="shared" ref="D43:AD43" si="45">D14/D19</f>
        <v>#DIV/0!</v>
      </c>
      <c r="E43" s="29" t="e">
        <f t="shared" si="45"/>
        <v>#DIV/0!</v>
      </c>
      <c r="F43" s="29" t="e">
        <f t="shared" si="45"/>
        <v>#DIV/0!</v>
      </c>
      <c r="G43" s="29" t="e">
        <f t="shared" si="45"/>
        <v>#DIV/0!</v>
      </c>
      <c r="H43" s="29">
        <f t="shared" ref="H43:I43" si="46">H14/H19</f>
        <v>2.4688950853148591E-2</v>
      </c>
      <c r="I43" s="29">
        <f t="shared" si="46"/>
        <v>0.23805055893042734</v>
      </c>
      <c r="J43" s="29">
        <f t="shared" si="45"/>
        <v>3.724743828194494E-2</v>
      </c>
      <c r="K43" s="29">
        <f t="shared" si="45"/>
        <v>0.10486197891071453</v>
      </c>
      <c r="L43" s="29">
        <f t="shared" si="45"/>
        <v>0.51506980448897122</v>
      </c>
      <c r="M43" s="29">
        <f t="shared" si="45"/>
        <v>0.56948069880135976</v>
      </c>
      <c r="N43" s="29">
        <f t="shared" si="45"/>
        <v>0.22091250043311492</v>
      </c>
      <c r="O43" s="29">
        <f t="shared" si="45"/>
        <v>0.32220990221016826</v>
      </c>
      <c r="P43" s="29">
        <f>P14/Q19</f>
        <v>0.66832864111621926</v>
      </c>
      <c r="Q43" s="29">
        <f>Q14/P19</f>
        <v>1.6135514606028216</v>
      </c>
      <c r="R43" s="29">
        <f t="shared" si="45"/>
        <v>0.73277194099410881</v>
      </c>
      <c r="S43" s="29">
        <f t="shared" si="45"/>
        <v>7.969012870512035E-2</v>
      </c>
      <c r="T43" s="29">
        <f t="shared" si="45"/>
        <v>0.33042135021755115</v>
      </c>
      <c r="U43" s="29">
        <f t="shared" si="45"/>
        <v>0.50587474037246838</v>
      </c>
      <c r="V43" s="29">
        <f t="shared" si="45"/>
        <v>0.59432479348442435</v>
      </c>
      <c r="W43" s="29">
        <f t="shared" si="45"/>
        <v>1.4042771868292296</v>
      </c>
      <c r="X43" s="29">
        <f t="shared" si="45"/>
        <v>0.85868602935767779</v>
      </c>
      <c r="Y43" s="29">
        <f t="shared" si="45"/>
        <v>0.21690417562141032</v>
      </c>
      <c r="Z43" s="29">
        <f t="shared" si="45"/>
        <v>0.16821117478773004</v>
      </c>
      <c r="AA43" s="29">
        <f t="shared" si="45"/>
        <v>0.2845877694536566</v>
      </c>
      <c r="AB43" s="29">
        <f t="shared" si="45"/>
        <v>0.1544452887537994</v>
      </c>
      <c r="AC43" s="29">
        <f t="shared" si="45"/>
        <v>0.34333333333333338</v>
      </c>
      <c r="AD43" s="29">
        <f t="shared" si="45"/>
        <v>0.48123134914402382</v>
      </c>
      <c r="AE43" s="29">
        <f t="shared" ref="AE43" si="47">AE14/AE19</f>
        <v>0.54199153486299845</v>
      </c>
      <c r="AF43" s="1"/>
      <c r="AG43" s="1"/>
      <c r="AH43" s="1"/>
    </row>
    <row r="44" spans="1:35" x14ac:dyDescent="0.3">
      <c r="A44" s="16" t="s">
        <v>83</v>
      </c>
      <c r="B44" s="17" t="s">
        <v>45</v>
      </c>
      <c r="C44" s="1" t="s">
        <v>63</v>
      </c>
      <c r="D44" s="30" t="e">
        <f t="shared" ref="D44:AD44" si="48">D29/D7</f>
        <v>#DIV/0!</v>
      </c>
      <c r="E44" s="30" t="e">
        <f t="shared" si="48"/>
        <v>#DIV/0!</v>
      </c>
      <c r="F44" s="30" t="e">
        <f t="shared" si="48"/>
        <v>#DIV/0!</v>
      </c>
      <c r="G44" s="30" t="e">
        <f t="shared" si="48"/>
        <v>#DIV/0!</v>
      </c>
      <c r="H44" s="30">
        <f t="shared" ref="H44:I44" si="49">H29/H7</f>
        <v>2.84423692822581</v>
      </c>
      <c r="I44" s="30">
        <f t="shared" si="49"/>
        <v>1.8984335508148025</v>
      </c>
      <c r="J44" s="30">
        <f t="shared" si="48"/>
        <v>2.5393701506161568</v>
      </c>
      <c r="K44" s="30">
        <f t="shared" si="48"/>
        <v>4.4374964558222176</v>
      </c>
      <c r="L44" s="30">
        <f t="shared" si="48"/>
        <v>3.4582959988330799</v>
      </c>
      <c r="M44" s="30">
        <f t="shared" si="48"/>
        <v>4.4641891415269574</v>
      </c>
      <c r="N44" s="30">
        <f t="shared" si="48"/>
        <v>3.925745121137544</v>
      </c>
      <c r="O44" s="30">
        <f t="shared" si="48"/>
        <v>2.8169488259144324</v>
      </c>
      <c r="P44" s="30">
        <f t="shared" si="48"/>
        <v>1.6757643040264221</v>
      </c>
      <c r="Q44" s="30">
        <f t="shared" si="48"/>
        <v>1.1115748349255656</v>
      </c>
      <c r="R44" s="30">
        <f t="shared" si="48"/>
        <v>2.297322318108955</v>
      </c>
      <c r="S44" s="30">
        <f t="shared" si="48"/>
        <v>2.3908656249101714</v>
      </c>
      <c r="T44" s="30">
        <f t="shared" si="48"/>
        <v>1.7217678953468833</v>
      </c>
      <c r="U44" s="30">
        <f t="shared" si="48"/>
        <v>1.1862957422810603</v>
      </c>
      <c r="V44" s="30">
        <f t="shared" si="48"/>
        <v>0.90825379240711013</v>
      </c>
      <c r="W44" s="30">
        <f t="shared" si="48"/>
        <v>0.9123693291169136</v>
      </c>
      <c r="X44" s="30">
        <f t="shared" si="48"/>
        <v>0.75474717952183989</v>
      </c>
      <c r="Y44" s="30">
        <f t="shared" si="48"/>
        <v>1.6134038164731848</v>
      </c>
      <c r="Z44" s="30">
        <f t="shared" si="48"/>
        <v>1.6116582234157821</v>
      </c>
      <c r="AA44" s="30">
        <f t="shared" si="48"/>
        <v>1.7064311045071816</v>
      </c>
      <c r="AB44" s="30">
        <f t="shared" si="48"/>
        <v>1.5651881030678358</v>
      </c>
      <c r="AC44" s="30">
        <f t="shared" si="48"/>
        <v>2.0403117441547969</v>
      </c>
      <c r="AD44" s="30">
        <f t="shared" si="48"/>
        <v>2.5537653239929949</v>
      </c>
      <c r="AE44" s="30">
        <f t="shared" ref="AE44" si="50">AE29/AE7</f>
        <v>1.848749073915769</v>
      </c>
      <c r="AF44" s="1"/>
      <c r="AG44" s="1"/>
      <c r="AH44" s="1"/>
    </row>
    <row r="45" spans="1:35" x14ac:dyDescent="0.3">
      <c r="A45" s="18" t="s">
        <v>84</v>
      </c>
      <c r="B45" s="54" t="s">
        <v>99</v>
      </c>
      <c r="C45" s="6" t="s">
        <v>64</v>
      </c>
      <c r="D45" s="29" t="e">
        <f t="shared" ref="D45:AD45" si="51">D18/D23</f>
        <v>#DIV/0!</v>
      </c>
      <c r="E45" s="29" t="e">
        <f t="shared" si="51"/>
        <v>#DIV/0!</v>
      </c>
      <c r="F45" s="29" t="e">
        <f t="shared" si="51"/>
        <v>#DIV/0!</v>
      </c>
      <c r="G45" s="29" t="e">
        <f t="shared" si="51"/>
        <v>#DIV/0!</v>
      </c>
      <c r="H45" s="29">
        <f t="shared" ref="H45:I45" si="52">H18/H23</f>
        <v>0.30568763029795448</v>
      </c>
      <c r="I45" s="29">
        <f t="shared" si="52"/>
        <v>0.36184957900183196</v>
      </c>
      <c r="J45" s="29">
        <f t="shared" si="51"/>
        <v>1.0209502599104854</v>
      </c>
      <c r="K45" s="29">
        <f t="shared" si="51"/>
        <v>1.6779022073452112</v>
      </c>
      <c r="L45" s="29">
        <f t="shared" si="51"/>
        <v>0.58340284501514239</v>
      </c>
      <c r="M45" s="29">
        <f t="shared" si="51"/>
        <v>0.59475561464059712</v>
      </c>
      <c r="N45" s="29">
        <f t="shared" si="51"/>
        <v>1.2767583603220036</v>
      </c>
      <c r="O45" s="29">
        <f t="shared" si="51"/>
        <v>0.14662691332225181</v>
      </c>
      <c r="P45" s="29">
        <f t="shared" si="51"/>
        <v>1.040497941598779</v>
      </c>
      <c r="Q45" s="29">
        <f t="shared" si="51"/>
        <v>1.0902648136716191</v>
      </c>
      <c r="R45" s="29">
        <f t="shared" si="51"/>
        <v>0.96695850220790192</v>
      </c>
      <c r="S45" s="29">
        <f t="shared" si="51"/>
        <v>1.015960729102902</v>
      </c>
      <c r="T45" s="29">
        <f t="shared" si="51"/>
        <v>1.0460372016936117</v>
      </c>
      <c r="U45" s="29">
        <f t="shared" si="51"/>
        <v>0.90863002081375044</v>
      </c>
      <c r="V45" s="29">
        <f t="shared" si="51"/>
        <v>0.83982781501541814</v>
      </c>
      <c r="W45" s="29">
        <f t="shared" si="51"/>
        <v>0.9054061868431843</v>
      </c>
      <c r="X45" s="29">
        <f t="shared" si="51"/>
        <v>0.8630808939286585</v>
      </c>
      <c r="Y45" s="29">
        <f t="shared" si="51"/>
        <v>1.0154280026542801</v>
      </c>
      <c r="Z45" s="29">
        <f t="shared" si="51"/>
        <v>0.95702680747359858</v>
      </c>
      <c r="AA45" s="29">
        <f t="shared" si="51"/>
        <v>1.0592655128746307</v>
      </c>
      <c r="AB45" s="29">
        <f t="shared" si="51"/>
        <v>1.1609912339851651</v>
      </c>
      <c r="AC45" s="29">
        <f t="shared" si="51"/>
        <v>1.4842761172232501</v>
      </c>
      <c r="AD45" s="29">
        <f t="shared" si="51"/>
        <v>1.4889365435227604</v>
      </c>
      <c r="AE45" s="29">
        <f t="shared" ref="AE45" si="53">AE18/AE23</f>
        <v>1.3884178068992099</v>
      </c>
      <c r="AF45" s="1"/>
      <c r="AG45" s="1"/>
      <c r="AH45" s="1"/>
    </row>
    <row r="46" spans="1:35" x14ac:dyDescent="0.3">
      <c r="A46" s="18" t="s">
        <v>97</v>
      </c>
      <c r="B46" s="17" t="s">
        <v>100</v>
      </c>
      <c r="C46" s="6" t="s">
        <v>111</v>
      </c>
      <c r="D46" s="28">
        <f t="shared" ref="D46:AG46" si="54">D13/D4</f>
        <v>0</v>
      </c>
      <c r="E46" s="28">
        <f t="shared" si="54"/>
        <v>0</v>
      </c>
      <c r="F46" s="28">
        <f t="shared" si="54"/>
        <v>0</v>
      </c>
      <c r="G46" s="28">
        <f t="shared" si="54"/>
        <v>0</v>
      </c>
      <c r="H46" s="28">
        <f t="shared" ref="H46:I46" si="55">H13/H4</f>
        <v>2.2321428571428572E-2</v>
      </c>
      <c r="I46" s="28">
        <f t="shared" si="55"/>
        <v>1.2773722627737225E-2</v>
      </c>
      <c r="J46" s="28">
        <f t="shared" si="54"/>
        <v>1.2039635354736426E-2</v>
      </c>
      <c r="K46" s="28">
        <f t="shared" si="54"/>
        <v>5.0036461671049443E-2</v>
      </c>
      <c r="L46" s="28">
        <f t="shared" si="54"/>
        <v>2.5878928202131009E-2</v>
      </c>
      <c r="M46" s="28">
        <f t="shared" si="54"/>
        <v>2.2513503445706837E-2</v>
      </c>
      <c r="N46" s="28">
        <f t="shared" si="54"/>
        <v>2.2042331853283612E-2</v>
      </c>
      <c r="O46" s="28">
        <f t="shared" si="54"/>
        <v>2.2095986217172656E-2</v>
      </c>
      <c r="P46" s="28">
        <f t="shared" si="54"/>
        <v>2.1887534767492396E-2</v>
      </c>
      <c r="Q46" s="28">
        <f t="shared" si="54"/>
        <v>6.6854430224332184E-2</v>
      </c>
      <c r="R46" s="28">
        <f t="shared" si="54"/>
        <v>2.2828810578571272E-2</v>
      </c>
      <c r="S46" s="28">
        <f t="shared" si="54"/>
        <v>5.2947722974521598E-2</v>
      </c>
      <c r="T46" s="28">
        <f t="shared" si="54"/>
        <v>0.10497121747023469</v>
      </c>
      <c r="U46" s="28">
        <f t="shared" si="54"/>
        <v>0</v>
      </c>
      <c r="V46" s="28">
        <f t="shared" si="54"/>
        <v>9.8891853487400413E-2</v>
      </c>
      <c r="W46" s="28">
        <f t="shared" si="54"/>
        <v>9.6254583773701621E-2</v>
      </c>
      <c r="X46" s="28">
        <f t="shared" si="54"/>
        <v>9.0747099516307328E-2</v>
      </c>
      <c r="Y46" s="28">
        <f t="shared" si="54"/>
        <v>0.1708310876954558</v>
      </c>
      <c r="Z46" s="28">
        <f t="shared" si="54"/>
        <v>7.2569735180965891E-2</v>
      </c>
      <c r="AA46" s="28">
        <f t="shared" si="54"/>
        <v>4.7036688617121361E-2</v>
      </c>
      <c r="AB46" s="28">
        <f t="shared" si="54"/>
        <v>7.7777777777777779E-2</v>
      </c>
      <c r="AC46" s="28">
        <f t="shared" si="54"/>
        <v>0.11705685618729096</v>
      </c>
      <c r="AD46" s="28">
        <f t="shared" si="54"/>
        <v>5.6044835868694957E-2</v>
      </c>
      <c r="AE46" s="28">
        <f t="shared" si="54"/>
        <v>6.2686567164179099E-2</v>
      </c>
      <c r="AF46" s="28">
        <f t="shared" si="54"/>
        <v>6.5639269406392697E-2</v>
      </c>
      <c r="AG46" s="28">
        <f t="shared" si="54"/>
        <v>6.2785388127853878E-2</v>
      </c>
      <c r="AH46" s="28"/>
      <c r="AI46" s="28"/>
    </row>
  </sheetData>
  <mergeCells count="2">
    <mergeCell ref="A6:A13"/>
    <mergeCell ref="A14:A2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0B6A9-ACF4-4F8A-A04B-20B51FBABC4C}">
  <sheetPr codeName="Planilha27"/>
  <dimension ref="A3:AE52"/>
  <sheetViews>
    <sheetView workbookViewId="0">
      <pane xSplit="3" ySplit="3" topLeftCell="D4" activePane="bottomRight" state="frozen"/>
      <selection activeCell="C22" sqref="C22"/>
      <selection pane="topRight" activeCell="C22" sqref="C22"/>
      <selection pane="bottomLeft" activeCell="C22" sqref="C22"/>
      <selection pane="bottomRight" activeCell="Z38" sqref="Z38:AA45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27" width="8.33203125" customWidth="1"/>
  </cols>
  <sheetData>
    <row r="3" spans="1:31" s="10" customFormat="1" x14ac:dyDescent="0.3">
      <c r="A3" s="9" t="s">
        <v>25</v>
      </c>
      <c r="B3" s="8" t="s">
        <v>23</v>
      </c>
      <c r="C3" s="9" t="s">
        <v>24</v>
      </c>
      <c r="D3" s="8">
        <v>98</v>
      </c>
      <c r="E3" s="8">
        <v>99</v>
      </c>
      <c r="F3" s="8">
        <v>2000</v>
      </c>
      <c r="G3" s="8">
        <v>1</v>
      </c>
      <c r="H3" s="8">
        <v>2</v>
      </c>
      <c r="I3" s="8">
        <v>3</v>
      </c>
      <c r="J3" s="8">
        <v>4</v>
      </c>
      <c r="K3" s="8">
        <v>5</v>
      </c>
      <c r="L3" s="8">
        <v>6</v>
      </c>
      <c r="M3" s="8">
        <v>7</v>
      </c>
      <c r="N3" s="8">
        <v>8</v>
      </c>
      <c r="O3" s="8">
        <v>9</v>
      </c>
      <c r="P3" s="8">
        <v>10</v>
      </c>
      <c r="Q3" s="8">
        <v>11</v>
      </c>
      <c r="R3" s="8">
        <v>12</v>
      </c>
      <c r="S3" s="8">
        <v>13</v>
      </c>
      <c r="T3" s="8">
        <v>14</v>
      </c>
      <c r="U3" s="8">
        <v>15</v>
      </c>
      <c r="V3" s="8">
        <v>16</v>
      </c>
      <c r="W3" s="8">
        <v>17</v>
      </c>
      <c r="X3" s="8">
        <v>18</v>
      </c>
      <c r="Y3" s="8">
        <v>19</v>
      </c>
      <c r="Z3" s="8">
        <v>20</v>
      </c>
      <c r="AA3" s="8" t="s">
        <v>3</v>
      </c>
      <c r="AB3" s="8" t="s">
        <v>94</v>
      </c>
      <c r="AC3" s="8" t="s">
        <v>116</v>
      </c>
      <c r="AD3" s="8" t="s">
        <v>117</v>
      </c>
      <c r="AE3" s="8" t="s">
        <v>118</v>
      </c>
    </row>
    <row r="4" spans="1:31" x14ac:dyDescent="0.3">
      <c r="A4" s="4" t="s">
        <v>5</v>
      </c>
      <c r="B4" s="11">
        <v>1</v>
      </c>
      <c r="C4" s="6" t="s">
        <v>4</v>
      </c>
      <c r="D4" s="19">
        <v>19.05</v>
      </c>
      <c r="E4" s="19">
        <v>26.89</v>
      </c>
      <c r="F4" s="19">
        <v>11.91</v>
      </c>
      <c r="G4" s="19">
        <v>3.9</v>
      </c>
      <c r="H4" s="19">
        <v>5.01</v>
      </c>
      <c r="I4" s="19">
        <v>7.7</v>
      </c>
      <c r="J4" s="19">
        <v>9.2449999999999992</v>
      </c>
      <c r="K4" s="19">
        <v>9.65</v>
      </c>
      <c r="L4" s="19">
        <v>9.76</v>
      </c>
      <c r="M4" s="19">
        <v>9.5500000000000007</v>
      </c>
      <c r="N4" s="19">
        <v>3.71</v>
      </c>
      <c r="O4" s="19">
        <v>4.3380000000000001</v>
      </c>
      <c r="P4" s="19">
        <v>3.39</v>
      </c>
      <c r="Q4" s="19">
        <v>2.3220000000000001</v>
      </c>
      <c r="R4" s="19">
        <v>2.97</v>
      </c>
      <c r="S4" s="19">
        <v>5.4</v>
      </c>
      <c r="T4" s="19">
        <v>5.2359999999999998</v>
      </c>
      <c r="U4" s="19">
        <v>7.2460000000000004</v>
      </c>
      <c r="V4" s="19">
        <v>5.6379999999999999</v>
      </c>
      <c r="W4" s="19">
        <v>5.4809999999999999</v>
      </c>
      <c r="X4" s="19">
        <v>5.2949999999999999</v>
      </c>
      <c r="Y4" s="19">
        <v>4.8</v>
      </c>
      <c r="Z4" s="19">
        <v>2.8580000000000001</v>
      </c>
      <c r="AA4" s="19">
        <v>3.41</v>
      </c>
      <c r="AB4" s="19">
        <v>3.512</v>
      </c>
      <c r="AC4" s="19">
        <v>3.512</v>
      </c>
      <c r="AD4" s="19">
        <v>3.512</v>
      </c>
      <c r="AE4" s="19">
        <v>3.512</v>
      </c>
    </row>
    <row r="5" spans="1:31" x14ac:dyDescent="0.3">
      <c r="A5" s="5" t="s">
        <v>8</v>
      </c>
      <c r="B5" s="12">
        <v>3</v>
      </c>
      <c r="C5" s="1" t="s">
        <v>86</v>
      </c>
      <c r="D5" s="3"/>
      <c r="E5" s="3">
        <v>79.948999999999998</v>
      </c>
      <c r="F5" s="3">
        <v>84.647199999999998</v>
      </c>
      <c r="G5" s="3">
        <v>125</v>
      </c>
      <c r="H5" s="3">
        <v>156.84592799999999</v>
      </c>
      <c r="I5" s="3">
        <v>156.888204</v>
      </c>
      <c r="J5" s="3">
        <v>309.26690200000002</v>
      </c>
      <c r="K5" s="3">
        <f>K12/0.36</f>
        <v>274.97610555555559</v>
      </c>
      <c r="L5" s="3">
        <f>L12/0.23</f>
        <v>322.30908260869563</v>
      </c>
      <c r="M5" s="3">
        <f>M12/0.16</f>
        <v>323.36658749999998</v>
      </c>
      <c r="N5" s="3">
        <f>N12/0.16</f>
        <v>322.23528125000001</v>
      </c>
      <c r="O5" s="3">
        <f>O12/0.15</f>
        <v>304.33695999999998</v>
      </c>
      <c r="P5" s="32">
        <f>P12/0.12</f>
        <v>306.38445833333333</v>
      </c>
      <c r="Q5" s="32">
        <f>Q12/0.11</f>
        <v>316.80867272727272</v>
      </c>
      <c r="R5" s="32">
        <f>R12/0.12</f>
        <v>307.39999999999998</v>
      </c>
      <c r="S5" s="32">
        <f>S12/0.03</f>
        <v>375.3</v>
      </c>
      <c r="T5" s="32">
        <f>T12/0.15</f>
        <v>500.53333333333336</v>
      </c>
      <c r="U5" s="32">
        <f>U12/0.16</f>
        <v>515.57500000000005</v>
      </c>
      <c r="V5" s="32">
        <v>512.13</v>
      </c>
      <c r="W5" s="32">
        <v>512.85</v>
      </c>
      <c r="X5" s="3">
        <v>513.09</v>
      </c>
      <c r="Y5" s="3">
        <v>513.23</v>
      </c>
      <c r="Z5" s="3">
        <v>512.5</v>
      </c>
      <c r="AA5" s="3">
        <v>513.44000000000005</v>
      </c>
      <c r="AB5" s="3">
        <v>513.44000000000005</v>
      </c>
      <c r="AC5" s="66">
        <v>513.45000000000005</v>
      </c>
      <c r="AD5" s="66">
        <v>512.75</v>
      </c>
      <c r="AE5" s="66">
        <v>512.5</v>
      </c>
    </row>
    <row r="6" spans="1:31" x14ac:dyDescent="0.3">
      <c r="A6" s="101" t="s">
        <v>7</v>
      </c>
      <c r="B6" s="13">
        <v>4</v>
      </c>
      <c r="C6" s="6" t="s">
        <v>104</v>
      </c>
      <c r="D6" s="7"/>
      <c r="E6" s="7">
        <v>165.08291</v>
      </c>
      <c r="F6" s="7">
        <v>260.48946000000001</v>
      </c>
      <c r="G6" s="7">
        <v>637.85799999999995</v>
      </c>
      <c r="H6" s="7">
        <v>694.07825300000002</v>
      </c>
      <c r="I6" s="7">
        <v>697.60205900000005</v>
      </c>
      <c r="J6" s="7">
        <v>598.75707999999997</v>
      </c>
      <c r="K6" s="7">
        <v>628.45435299999997</v>
      </c>
      <c r="L6" s="7">
        <v>666.48287000000005</v>
      </c>
      <c r="M6" s="7">
        <v>715.65833099999998</v>
      </c>
      <c r="N6" s="7">
        <v>776.55723</v>
      </c>
      <c r="O6" s="7">
        <v>823.03779699999996</v>
      </c>
      <c r="P6" s="7">
        <v>872.34931500000005</v>
      </c>
      <c r="Q6" s="7">
        <v>854.82845999999995</v>
      </c>
      <c r="R6" s="7">
        <v>858.6</v>
      </c>
      <c r="S6" s="7">
        <v>990.25900000000001</v>
      </c>
      <c r="T6" s="7">
        <v>1383.934</v>
      </c>
      <c r="U6" s="7">
        <v>1444.3050000000001</v>
      </c>
      <c r="V6" s="7">
        <v>1514.9690000000001</v>
      </c>
      <c r="W6" s="7">
        <v>1561.7829999999999</v>
      </c>
      <c r="X6" s="7">
        <v>1576</v>
      </c>
      <c r="Y6" s="7">
        <v>1599</v>
      </c>
      <c r="Z6" s="7">
        <v>1368</v>
      </c>
      <c r="AA6" s="7">
        <v>1410</v>
      </c>
      <c r="AB6" s="7">
        <v>1462</v>
      </c>
      <c r="AC6" s="66">
        <v>1486</v>
      </c>
      <c r="AD6" s="66">
        <v>1495</v>
      </c>
      <c r="AE6" s="66">
        <v>1510</v>
      </c>
    </row>
    <row r="7" spans="1:31" x14ac:dyDescent="0.3">
      <c r="A7" s="101"/>
      <c r="B7" s="13">
        <v>5</v>
      </c>
      <c r="C7" s="1" t="s">
        <v>9</v>
      </c>
      <c r="D7" s="3"/>
      <c r="E7" s="3">
        <v>23</v>
      </c>
      <c r="F7" s="3">
        <v>-44.984999999999999</v>
      </c>
      <c r="G7" s="3">
        <v>45.02</v>
      </c>
      <c r="H7" s="3">
        <v>76.805999999999997</v>
      </c>
      <c r="I7" s="3">
        <v>70.411762999999993</v>
      </c>
      <c r="J7" s="3">
        <f>J8+51.420176</f>
        <v>101.61143999999999</v>
      </c>
      <c r="K7" s="3">
        <f>K8+61.919611</f>
        <v>196.89659399999999</v>
      </c>
      <c r="L7" s="3">
        <f>L8+102.502152</f>
        <v>213.440383</v>
      </c>
      <c r="M7" s="3">
        <f>M8+115.340813</f>
        <v>188.85822200000001</v>
      </c>
      <c r="N7" s="3">
        <f>N8+139.072398</f>
        <v>215.763229</v>
      </c>
      <c r="O7" s="3">
        <f>O8+180.402489</f>
        <v>280.35688600000003</v>
      </c>
      <c r="P7" s="3">
        <f>P8+219.294578</f>
        <v>301.54535699999997</v>
      </c>
      <c r="Q7" s="3">
        <f>Q8+217.598</f>
        <v>310.26860299999998</v>
      </c>
      <c r="R7" s="3">
        <f>R8+214.58</f>
        <v>311.89300000000003</v>
      </c>
      <c r="S7" s="3">
        <f>S8+243.07</f>
        <v>317.69799999999998</v>
      </c>
      <c r="T7" s="3">
        <f>T8+339.294</f>
        <v>486.69499999999999</v>
      </c>
      <c r="U7" s="3">
        <f>U8+366.406</f>
        <v>516.76499999999999</v>
      </c>
      <c r="V7" s="3">
        <v>556.70000000000005</v>
      </c>
      <c r="W7" s="3">
        <v>580.6</v>
      </c>
      <c r="X7" s="3">
        <v>591.79999999999995</v>
      </c>
      <c r="Y7" s="3">
        <v>641.1</v>
      </c>
      <c r="Z7" s="3">
        <v>603.20000000000005</v>
      </c>
      <c r="AA7" s="3">
        <v>613.91999999999996</v>
      </c>
      <c r="AB7" s="3">
        <v>637.52</v>
      </c>
      <c r="AC7" s="66">
        <v>648.64</v>
      </c>
      <c r="AD7" s="66">
        <v>654.1</v>
      </c>
      <c r="AE7" s="66">
        <v>662.65</v>
      </c>
    </row>
    <row r="8" spans="1:31" x14ac:dyDescent="0.3">
      <c r="A8" s="101"/>
      <c r="B8" s="13">
        <v>6</v>
      </c>
      <c r="C8" s="6" t="s">
        <v>10</v>
      </c>
      <c r="D8" s="7"/>
      <c r="E8" s="7">
        <v>-8.9665499999999998</v>
      </c>
      <c r="F8" s="7">
        <v>-93.510194999999996</v>
      </c>
      <c r="G8" s="7">
        <v>-23.657</v>
      </c>
      <c r="H8" s="7">
        <v>-4.484</v>
      </c>
      <c r="I8" s="7">
        <v>59.131346000000001</v>
      </c>
      <c r="J8" s="7">
        <v>50.191263999999997</v>
      </c>
      <c r="K8" s="7">
        <v>134.97698299999999</v>
      </c>
      <c r="L8" s="7">
        <v>110.938231</v>
      </c>
      <c r="M8" s="7">
        <v>73.517409000000001</v>
      </c>
      <c r="N8" s="7">
        <v>76.690831000000003</v>
      </c>
      <c r="O8" s="7">
        <v>99.954397</v>
      </c>
      <c r="P8" s="7">
        <v>82.250778999999994</v>
      </c>
      <c r="Q8" s="7">
        <v>92.670603</v>
      </c>
      <c r="R8" s="7">
        <v>97.313000000000002</v>
      </c>
      <c r="S8" s="7">
        <v>74.628</v>
      </c>
      <c r="T8" s="7">
        <v>147.40100000000001</v>
      </c>
      <c r="U8" s="7">
        <v>150.35900000000001</v>
      </c>
      <c r="V8" s="7">
        <v>142.80000000000001</v>
      </c>
      <c r="W8" s="7">
        <v>142.80000000000001</v>
      </c>
      <c r="X8" s="7">
        <v>200.8</v>
      </c>
      <c r="Y8" s="7">
        <v>201.8</v>
      </c>
      <c r="Z8" s="7">
        <v>137.31</v>
      </c>
      <c r="AA8" s="7">
        <v>185.61</v>
      </c>
      <c r="AB8" s="7">
        <v>202.2</v>
      </c>
      <c r="AC8" s="66">
        <v>208.22</v>
      </c>
      <c r="AD8" s="66">
        <v>215.98</v>
      </c>
      <c r="AE8" s="66">
        <v>227.13</v>
      </c>
    </row>
    <row r="9" spans="1:31" x14ac:dyDescent="0.3">
      <c r="A9" s="101"/>
      <c r="B9" s="13">
        <v>11</v>
      </c>
      <c r="C9" s="1" t="s">
        <v>11</v>
      </c>
      <c r="D9" s="3"/>
      <c r="E9" s="3">
        <v>-5.3283449999999997</v>
      </c>
      <c r="F9" s="3">
        <v>-31.850169999999999</v>
      </c>
      <c r="G9" s="3">
        <v>-87.45</v>
      </c>
      <c r="H9" s="3">
        <v>-104.348</v>
      </c>
      <c r="I9" s="3">
        <v>-25.209890000000001</v>
      </c>
      <c r="J9" s="3">
        <f>J10-J8</f>
        <v>-2.5477619999999987</v>
      </c>
      <c r="K9" s="3">
        <f>K10-K8</f>
        <v>-0.80237499999998363</v>
      </c>
      <c r="L9" s="3">
        <v>7.7554530000000002</v>
      </c>
      <c r="M9" s="3">
        <v>3.660825</v>
      </c>
      <c r="N9" s="3">
        <v>25.895475999999999</v>
      </c>
      <c r="O9" s="3">
        <v>14.920731999999999</v>
      </c>
      <c r="P9" s="3">
        <v>36.11</v>
      </c>
      <c r="Q9" s="3">
        <v>43.034999999999997</v>
      </c>
      <c r="R9" s="3">
        <v>42.448</v>
      </c>
      <c r="S9" s="3">
        <v>46.936</v>
      </c>
      <c r="T9" s="3">
        <v>55.142000000000003</v>
      </c>
      <c r="U9" s="3">
        <v>32.145000000000003</v>
      </c>
      <c r="V9" s="3">
        <v>-24.6</v>
      </c>
      <c r="W9" s="3">
        <v>-24</v>
      </c>
      <c r="X9" s="3">
        <v>-24.2</v>
      </c>
      <c r="Y9" s="3">
        <v>-24.8</v>
      </c>
      <c r="Z9" s="3">
        <v>-22.48</v>
      </c>
      <c r="AA9" s="3">
        <v>-33.44</v>
      </c>
      <c r="AB9" s="3">
        <v>-30.73</v>
      </c>
      <c r="AC9" s="66">
        <v>-26.25</v>
      </c>
      <c r="AD9" s="66">
        <v>-21.23</v>
      </c>
      <c r="AE9" s="66">
        <v>-19.350000000000001</v>
      </c>
    </row>
    <row r="10" spans="1:31" x14ac:dyDescent="0.3">
      <c r="A10" s="101"/>
      <c r="B10" s="13">
        <v>12</v>
      </c>
      <c r="C10" s="6" t="s">
        <v>12</v>
      </c>
      <c r="D10" s="7"/>
      <c r="E10" s="7">
        <v>-13.93465</v>
      </c>
      <c r="F10" s="7">
        <v>-294.41982000000002</v>
      </c>
      <c r="G10" s="7">
        <v>-95.038257999999999</v>
      </c>
      <c r="H10" s="7">
        <v>-140.76371599999999</v>
      </c>
      <c r="I10" s="7">
        <v>-25.209890000000001</v>
      </c>
      <c r="J10" s="7">
        <v>47.643501999999998</v>
      </c>
      <c r="K10" s="7">
        <v>134.17460800000001</v>
      </c>
      <c r="L10" s="7">
        <v>103.182778</v>
      </c>
      <c r="M10" s="7">
        <v>69.856583999999998</v>
      </c>
      <c r="N10" s="7">
        <v>74.058920999999998</v>
      </c>
      <c r="O10" s="7">
        <v>61.770099000000002</v>
      </c>
      <c r="P10" s="7">
        <v>46.133198999999998</v>
      </c>
      <c r="Q10" s="7">
        <v>49.635702999999999</v>
      </c>
      <c r="R10" s="7">
        <v>54.865000000000002</v>
      </c>
      <c r="S10" s="7">
        <v>27.692</v>
      </c>
      <c r="T10" s="7">
        <v>92.259</v>
      </c>
      <c r="U10" s="7">
        <v>114.63</v>
      </c>
      <c r="V10" s="7">
        <v>112.223</v>
      </c>
      <c r="W10" s="7">
        <v>141.70099999999999</v>
      </c>
      <c r="X10" s="7">
        <v>141.4</v>
      </c>
      <c r="Y10" s="7">
        <v>143.5</v>
      </c>
      <c r="Z10" s="7">
        <v>101.58</v>
      </c>
      <c r="AA10" s="7">
        <v>152.56</v>
      </c>
      <c r="AB10" s="7">
        <v>168.43</v>
      </c>
      <c r="AC10" s="66">
        <v>174.21</v>
      </c>
      <c r="AD10" s="66">
        <v>188.6</v>
      </c>
      <c r="AE10" s="66">
        <v>198.1</v>
      </c>
    </row>
    <row r="11" spans="1:31" x14ac:dyDescent="0.3">
      <c r="A11" s="101"/>
      <c r="B11" s="13">
        <v>13</v>
      </c>
      <c r="C11" s="1" t="s">
        <v>13</v>
      </c>
      <c r="D11" s="3"/>
      <c r="E11" s="3">
        <v>1.1623349999999999</v>
      </c>
      <c r="F11" s="3">
        <v>1.294605</v>
      </c>
      <c r="G11" s="3">
        <v>-2.63422</v>
      </c>
      <c r="H11" s="3">
        <v>3.8781370000000002</v>
      </c>
      <c r="I11" s="3">
        <v>55.768667000000001</v>
      </c>
      <c r="J11" s="3">
        <v>-75.502408000000003</v>
      </c>
      <c r="K11" s="3">
        <v>35.183210000000003</v>
      </c>
      <c r="L11" s="3">
        <v>29.051689</v>
      </c>
      <c r="M11" s="3">
        <v>18.117930000000001</v>
      </c>
      <c r="N11" s="3">
        <v>22.501276000000001</v>
      </c>
      <c r="O11" s="3">
        <v>16.119554999999998</v>
      </c>
      <c r="P11" s="3">
        <v>9.3470639999999996</v>
      </c>
      <c r="Q11" s="3">
        <v>14.787000000000001</v>
      </c>
      <c r="R11" s="3">
        <v>17.978000000000002</v>
      </c>
      <c r="S11" s="3">
        <v>16.433</v>
      </c>
      <c r="T11" s="3">
        <v>17.178999999999998</v>
      </c>
      <c r="U11" s="3">
        <v>32.137999999999998</v>
      </c>
      <c r="V11" s="3">
        <v>22.225999999999999</v>
      </c>
      <c r="W11" s="3">
        <v>17.48</v>
      </c>
      <c r="X11" s="3">
        <v>29.3</v>
      </c>
      <c r="Y11" s="3">
        <v>32.799999999999997</v>
      </c>
      <c r="Z11" s="3">
        <v>16.34</v>
      </c>
      <c r="AA11" s="3">
        <v>22.32</v>
      </c>
      <c r="AB11" s="3">
        <v>31.2</v>
      </c>
      <c r="AC11" s="66">
        <v>33.25</v>
      </c>
      <c r="AD11" s="66">
        <v>35.700000000000003</v>
      </c>
      <c r="AE11" s="66">
        <v>35.9</v>
      </c>
    </row>
    <row r="12" spans="1:31" x14ac:dyDescent="0.3">
      <c r="A12" s="101"/>
      <c r="B12" s="13">
        <v>14</v>
      </c>
      <c r="C12" s="6" t="s">
        <v>105</v>
      </c>
      <c r="D12" s="7"/>
      <c r="E12" s="7">
        <v>-15.731719999999999</v>
      </c>
      <c r="F12" s="7">
        <v>-266.05757</v>
      </c>
      <c r="G12" s="7">
        <v>-91.178629000000001</v>
      </c>
      <c r="H12" s="7">
        <v>-134.45340400000001</v>
      </c>
      <c r="I12" s="7">
        <v>30.716225999999999</v>
      </c>
      <c r="J12" s="7">
        <v>125.14591</v>
      </c>
      <c r="K12" s="7">
        <v>98.991398000000004</v>
      </c>
      <c r="L12" s="7">
        <v>74.131089000000003</v>
      </c>
      <c r="M12" s="7">
        <v>51.738653999999997</v>
      </c>
      <c r="N12" s="7">
        <v>51.557645000000001</v>
      </c>
      <c r="O12" s="7">
        <v>45.650543999999996</v>
      </c>
      <c r="P12" s="7">
        <v>36.766134999999998</v>
      </c>
      <c r="Q12" s="7">
        <v>34.848953999999999</v>
      </c>
      <c r="R12" s="7">
        <v>36.887999999999998</v>
      </c>
      <c r="S12" s="7">
        <v>11.259</v>
      </c>
      <c r="T12" s="7">
        <v>75.08</v>
      </c>
      <c r="U12" s="7">
        <v>82.492000000000004</v>
      </c>
      <c r="V12" s="7">
        <v>89.995999999999995</v>
      </c>
      <c r="W12" s="7">
        <v>124.1</v>
      </c>
      <c r="X12" s="7">
        <v>141.4</v>
      </c>
      <c r="Y12" s="7">
        <v>143.5</v>
      </c>
      <c r="Z12" s="7">
        <v>92</v>
      </c>
      <c r="AA12" s="7">
        <v>126.64</v>
      </c>
      <c r="AB12" s="7">
        <v>135.43</v>
      </c>
      <c r="AC12" s="66">
        <v>139.88999999999999</v>
      </c>
      <c r="AD12" s="66">
        <v>149.94999999999999</v>
      </c>
      <c r="AE12" s="66">
        <v>157.03</v>
      </c>
    </row>
    <row r="13" spans="1:31" x14ac:dyDescent="0.3">
      <c r="A13" s="101"/>
      <c r="B13" s="13">
        <v>2</v>
      </c>
      <c r="C13" s="1" t="s">
        <v>15</v>
      </c>
      <c r="D13" s="3"/>
      <c r="E13" s="22">
        <v>0</v>
      </c>
      <c r="F13" s="22">
        <v>0</v>
      </c>
      <c r="G13" s="22">
        <v>0</v>
      </c>
      <c r="H13" s="22">
        <v>0</v>
      </c>
      <c r="I13" s="22">
        <v>30.716225999999999</v>
      </c>
      <c r="J13" s="22">
        <f>13.463368/J5</f>
        <v>4.3533167994808566E-2</v>
      </c>
      <c r="K13" s="22">
        <f>79.166717/K5</f>
        <v>0.28790398656659033</v>
      </c>
      <c r="L13" s="22">
        <v>0</v>
      </c>
      <c r="M13" s="22">
        <v>0</v>
      </c>
      <c r="N13" s="22">
        <v>0</v>
      </c>
      <c r="O13" s="22">
        <f>48.648187/O5</f>
        <v>0.1598497500927919</v>
      </c>
      <c r="P13" s="22">
        <f>50.177166/P5</f>
        <v>0.16377190368256006</v>
      </c>
      <c r="Q13" s="22">
        <f>49.996/Q5</f>
        <v>0.15781133631729666</v>
      </c>
      <c r="R13" s="22">
        <f>50.895/R5</f>
        <v>0.16556603773584908</v>
      </c>
      <c r="S13" s="22">
        <f>37.273/S5</f>
        <v>9.9315214495070622E-2</v>
      </c>
      <c r="T13" s="22">
        <f>62.013/T5</f>
        <v>0.12389384656366541</v>
      </c>
      <c r="U13" s="22">
        <f>72.216/U5</f>
        <v>0.14006885516171264</v>
      </c>
      <c r="V13" s="22">
        <v>0.2</v>
      </c>
      <c r="W13" s="22">
        <v>0.3</v>
      </c>
      <c r="X13" s="35">
        <v>0.35</v>
      </c>
      <c r="Y13" s="35">
        <v>0.35</v>
      </c>
      <c r="Z13" s="35">
        <v>0.28000000000000003</v>
      </c>
      <c r="AA13" s="35">
        <v>0.28000000000000003</v>
      </c>
      <c r="AB13" s="22">
        <v>0.28999999999999998</v>
      </c>
      <c r="AC13" s="1">
        <v>0.3</v>
      </c>
      <c r="AD13" s="1">
        <v>0.28999999999999998</v>
      </c>
      <c r="AE13" s="1">
        <v>0.3</v>
      </c>
    </row>
    <row r="14" spans="1:31" x14ac:dyDescent="0.3">
      <c r="A14" s="102" t="s">
        <v>14</v>
      </c>
      <c r="B14" s="14">
        <v>8</v>
      </c>
      <c r="C14" s="6" t="s">
        <v>16</v>
      </c>
      <c r="D14" s="7"/>
      <c r="E14" s="7">
        <v>14.632574999999999</v>
      </c>
      <c r="F14" s="7">
        <v>31.096145</v>
      </c>
      <c r="G14" s="7">
        <v>33.238</v>
      </c>
      <c r="H14" s="7">
        <v>20.167000000000002</v>
      </c>
      <c r="I14" s="7">
        <v>24.202380000000002</v>
      </c>
      <c r="J14" s="7">
        <v>14.286097</v>
      </c>
      <c r="K14" s="7">
        <v>41.716762000000003</v>
      </c>
      <c r="L14" s="7">
        <v>38.828010999999996</v>
      </c>
      <c r="M14" s="7">
        <v>66.915484000000006</v>
      </c>
      <c r="N14" s="7">
        <v>63.439712999999998</v>
      </c>
      <c r="O14" s="7">
        <v>163.22815600000001</v>
      </c>
      <c r="P14" s="7">
        <v>264.64561400000002</v>
      </c>
      <c r="Q14" s="7">
        <v>407.36200000000002</v>
      </c>
      <c r="R14" s="7">
        <v>308.25099999999998</v>
      </c>
      <c r="S14" s="7">
        <v>70.12</v>
      </c>
      <c r="T14" s="7">
        <v>19.591000000000001</v>
      </c>
      <c r="U14" s="7">
        <v>9.9</v>
      </c>
      <c r="V14" s="7">
        <v>2.2999999999999998</v>
      </c>
      <c r="W14" s="7">
        <v>3</v>
      </c>
      <c r="X14" s="7">
        <v>2.2000000000000002</v>
      </c>
      <c r="Y14" s="7">
        <v>12.8</v>
      </c>
      <c r="Z14" s="7">
        <v>153.30000000000001</v>
      </c>
      <c r="AA14" s="7">
        <v>43.4</v>
      </c>
      <c r="AB14" s="7"/>
      <c r="AC14" s="1"/>
      <c r="AD14" s="1"/>
      <c r="AE14" s="1"/>
    </row>
    <row r="15" spans="1:31" x14ac:dyDescent="0.3">
      <c r="A15" s="103"/>
      <c r="B15" s="14">
        <v>7</v>
      </c>
      <c r="C15" s="1" t="s">
        <v>17</v>
      </c>
      <c r="D15" s="3"/>
      <c r="E15" s="3">
        <v>52.114235000000001</v>
      </c>
      <c r="F15" s="3">
        <v>427.34145999999998</v>
      </c>
      <c r="G15" s="3">
        <v>775.23199999999997</v>
      </c>
      <c r="H15" s="3">
        <v>157.952</v>
      </c>
      <c r="I15" s="3">
        <f>10.9+68.443822+6.47527</f>
        <v>85.819091999999998</v>
      </c>
      <c r="J15" s="3">
        <f>41.379623+220.986202</f>
        <v>262.36582499999997</v>
      </c>
      <c r="K15" s="3">
        <f>22.342872+159.308964</f>
        <v>181.651836</v>
      </c>
      <c r="L15" s="3">
        <f>91.655758+173.964086</f>
        <v>265.619844</v>
      </c>
      <c r="M15" s="3">
        <f>124.510884+139.450778</f>
        <v>263.96166200000005</v>
      </c>
      <c r="N15" s="3">
        <f>317.060297+510.090534</f>
        <v>827.15083099999993</v>
      </c>
      <c r="O15" s="3">
        <f>246.539399+722.71778</f>
        <v>969.25717899999995</v>
      </c>
      <c r="P15" s="3">
        <f>92.577453+973.044728</f>
        <v>1065.622181</v>
      </c>
      <c r="Q15" s="3">
        <f>499.961+729.424</f>
        <v>1229.385</v>
      </c>
      <c r="R15" s="3">
        <f>363.254+721.219</f>
        <v>1084.473</v>
      </c>
      <c r="S15" s="3">
        <f>928.239+213.431</f>
        <v>1141.67</v>
      </c>
      <c r="T15" s="3">
        <f>616.526+503.508</f>
        <v>1120.0339999999999</v>
      </c>
      <c r="U15" s="3">
        <f>979.422+178.022</f>
        <v>1157.444</v>
      </c>
      <c r="V15" s="3">
        <f>972.003+224.692</f>
        <v>1196.6950000000002</v>
      </c>
      <c r="W15" s="3">
        <f>954.658+210.136</f>
        <v>1164.7940000000001</v>
      </c>
      <c r="X15" s="3">
        <v>1297.4000000000001</v>
      </c>
      <c r="Y15" s="3">
        <v>1360.1</v>
      </c>
      <c r="Z15" s="3">
        <v>1530.6</v>
      </c>
      <c r="AA15" s="3">
        <v>1474.7</v>
      </c>
      <c r="AB15" s="3"/>
      <c r="AC15" s="1"/>
      <c r="AD15" s="1"/>
      <c r="AE15" s="1"/>
    </row>
    <row r="16" spans="1:31" x14ac:dyDescent="0.3">
      <c r="A16" s="103"/>
      <c r="B16" s="14">
        <v>9</v>
      </c>
      <c r="C16" s="6" t="s">
        <v>92</v>
      </c>
      <c r="D16" s="7"/>
      <c r="E16" s="7">
        <v>3.7703500000000001</v>
      </c>
      <c r="F16" s="7">
        <v>37.847999999999999</v>
      </c>
      <c r="G16" s="7">
        <v>21.517168000000002</v>
      </c>
      <c r="H16" s="7">
        <v>16.627901000000001</v>
      </c>
      <c r="I16" s="7">
        <v>9.8097899999999996</v>
      </c>
      <c r="J16" s="7">
        <v>11.198126</v>
      </c>
      <c r="K16" s="7">
        <v>9.5543110000000002</v>
      </c>
      <c r="L16" s="7">
        <v>9.4267780000000005</v>
      </c>
      <c r="M16" s="7">
        <v>9.6113700000000009</v>
      </c>
      <c r="N16" s="7">
        <v>9.0307169999999992</v>
      </c>
      <c r="O16" s="7">
        <v>9.2498489999999993</v>
      </c>
      <c r="P16" s="7">
        <v>9.8907209999999992</v>
      </c>
      <c r="Q16" s="7">
        <v>9.984</v>
      </c>
      <c r="R16" s="7">
        <v>9.3960000000000008</v>
      </c>
      <c r="S16" s="7">
        <v>9.6150000000000002</v>
      </c>
      <c r="T16" s="7">
        <v>9.8179999999999996</v>
      </c>
      <c r="U16" s="7">
        <v>9.4</v>
      </c>
      <c r="V16" s="7">
        <v>9</v>
      </c>
      <c r="W16" s="7">
        <v>7.8</v>
      </c>
      <c r="X16" s="7">
        <v>7.3</v>
      </c>
      <c r="Y16" s="7">
        <v>7</v>
      </c>
      <c r="Z16" s="7">
        <v>6.7</v>
      </c>
      <c r="AA16" s="7">
        <v>6.5</v>
      </c>
      <c r="AB16" s="7"/>
      <c r="AC16" s="1"/>
      <c r="AD16" s="1"/>
      <c r="AE16" s="1"/>
    </row>
    <row r="17" spans="1:31" x14ac:dyDescent="0.3">
      <c r="A17" s="103"/>
      <c r="B17" s="14">
        <v>10</v>
      </c>
      <c r="C17" s="1" t="s">
        <v>18</v>
      </c>
      <c r="D17" s="3"/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1"/>
      <c r="AD17" s="1"/>
      <c r="AE17" s="1"/>
    </row>
    <row r="18" spans="1:31" x14ac:dyDescent="0.3">
      <c r="A18" s="103"/>
      <c r="B18" s="14">
        <v>15</v>
      </c>
      <c r="C18" s="6" t="s">
        <v>19</v>
      </c>
      <c r="D18" s="7"/>
      <c r="E18" s="7">
        <v>123.44154</v>
      </c>
      <c r="F18" s="7">
        <v>591.19910000000004</v>
      </c>
      <c r="G18" s="7">
        <v>1168.5525190000001</v>
      </c>
      <c r="H18" s="7">
        <v>492.24675200000001</v>
      </c>
      <c r="I18" s="7">
        <v>499.33889699999997</v>
      </c>
      <c r="J18" s="7">
        <v>609.67343800000003</v>
      </c>
      <c r="K18" s="7">
        <v>562.12593500000003</v>
      </c>
      <c r="L18" s="7">
        <v>551.11271799999997</v>
      </c>
      <c r="M18" s="7">
        <v>611.07115299999998</v>
      </c>
      <c r="N18" s="7">
        <v>1131.3472320000001</v>
      </c>
      <c r="O18" s="7">
        <v>1289.5483569999999</v>
      </c>
      <c r="P18" s="7">
        <v>1400.528838</v>
      </c>
      <c r="Q18" s="7">
        <v>1550.597</v>
      </c>
      <c r="R18" s="7">
        <v>1391.7190000000001</v>
      </c>
      <c r="S18" s="7">
        <v>1829.117</v>
      </c>
      <c r="T18" s="7">
        <v>1895.8009999999999</v>
      </c>
      <c r="U18" s="7">
        <v>1922.4</v>
      </c>
      <c r="V18" s="7">
        <v>1938.6</v>
      </c>
      <c r="W18" s="7">
        <v>1906.9</v>
      </c>
      <c r="X18" s="7">
        <v>2012.5</v>
      </c>
      <c r="Y18" s="7">
        <v>2082.9</v>
      </c>
      <c r="Z18" s="7">
        <v>2223.1</v>
      </c>
      <c r="AA18" s="7">
        <v>2171.9</v>
      </c>
      <c r="AB18" s="7"/>
      <c r="AC18" s="1"/>
      <c r="AD18" s="1"/>
      <c r="AE18" s="1"/>
    </row>
    <row r="19" spans="1:31" x14ac:dyDescent="0.3">
      <c r="A19" s="103"/>
      <c r="B19" s="14">
        <v>18</v>
      </c>
      <c r="C19" s="1" t="s">
        <v>21</v>
      </c>
      <c r="D19" s="3"/>
      <c r="E19" s="3">
        <v>51.011220000000002</v>
      </c>
      <c r="F19" s="3">
        <v>121.78023</v>
      </c>
      <c r="G19" s="3">
        <v>322.40978999999999</v>
      </c>
      <c r="H19" s="3">
        <v>230.161576</v>
      </c>
      <c r="I19" s="3">
        <v>225.69574900000001</v>
      </c>
      <c r="J19" s="3">
        <v>294.03618299999999</v>
      </c>
      <c r="K19" s="3">
        <v>336.262066</v>
      </c>
      <c r="L19" s="3">
        <v>355.354018</v>
      </c>
      <c r="M19" s="3">
        <v>450.44295499999998</v>
      </c>
      <c r="N19" s="3">
        <v>597.44466299999999</v>
      </c>
      <c r="O19" s="3">
        <v>544.55862200000001</v>
      </c>
      <c r="P19" s="3">
        <v>398.74569500000001</v>
      </c>
      <c r="Q19" s="3">
        <v>789.06600000000003</v>
      </c>
      <c r="R19" s="3">
        <v>651.78800000000001</v>
      </c>
      <c r="S19" s="3">
        <v>762.22799999999995</v>
      </c>
      <c r="T19" s="3">
        <v>1101.98</v>
      </c>
      <c r="U19" s="3">
        <v>762.22900000000004</v>
      </c>
      <c r="V19" s="3">
        <v>760.84699999999998</v>
      </c>
      <c r="W19" s="3">
        <v>753.02099999999996</v>
      </c>
      <c r="X19" s="3">
        <v>841</v>
      </c>
      <c r="Y19" s="3">
        <v>742.5</v>
      </c>
      <c r="Z19" s="3">
        <v>728.6</v>
      </c>
      <c r="AA19" s="3">
        <v>797.5</v>
      </c>
      <c r="AB19" s="3"/>
      <c r="AC19" s="1"/>
      <c r="AD19" s="1"/>
      <c r="AE19" s="1"/>
    </row>
    <row r="20" spans="1:31" x14ac:dyDescent="0.3">
      <c r="A20" s="103"/>
      <c r="B20" s="14">
        <v>17</v>
      </c>
      <c r="C20" s="6" t="s">
        <v>22</v>
      </c>
      <c r="D20" s="7"/>
      <c r="E20" s="7">
        <v>48.221769999999999</v>
      </c>
      <c r="F20" s="37">
        <v>220.16254000000001</v>
      </c>
      <c r="G20" s="7">
        <v>240.52199999999999</v>
      </c>
      <c r="H20" s="7">
        <v>204.45500000000001</v>
      </c>
      <c r="I20" s="7">
        <f>I21+149.486079+23.005339</f>
        <v>188.05027199999998</v>
      </c>
      <c r="J20" s="7">
        <v>262.85265199999998</v>
      </c>
      <c r="K20" s="7">
        <v>272.99256800000001</v>
      </c>
      <c r="L20" s="7">
        <v>260.04570899999999</v>
      </c>
      <c r="M20" s="7">
        <v>276.43921999999998</v>
      </c>
      <c r="N20" s="7">
        <v>295.634006</v>
      </c>
      <c r="O20" s="7">
        <v>436.40517299999999</v>
      </c>
      <c r="P20" s="7">
        <v>531.42618200000004</v>
      </c>
      <c r="Q20" s="7">
        <v>708.93899999999996</v>
      </c>
      <c r="R20" s="7">
        <v>542.26900000000001</v>
      </c>
      <c r="S20" s="7">
        <v>454.84100000000001</v>
      </c>
      <c r="T20" s="7">
        <v>467.96800000000002</v>
      </c>
      <c r="U20" s="7">
        <v>466.36200000000002</v>
      </c>
      <c r="V20" s="7">
        <v>529.63900000000001</v>
      </c>
      <c r="W20" s="7">
        <v>555.20000000000005</v>
      </c>
      <c r="X20" s="7">
        <v>530.1</v>
      </c>
      <c r="Y20" s="7">
        <v>553.79999999999995</v>
      </c>
      <c r="Z20" s="7">
        <v>615.20000000000005</v>
      </c>
      <c r="AA20" s="7">
        <v>518.70000000000005</v>
      </c>
      <c r="AB20" s="7"/>
      <c r="AC20" s="1"/>
      <c r="AD20" s="1"/>
      <c r="AE20" s="1"/>
    </row>
    <row r="21" spans="1:31" x14ac:dyDescent="0.3">
      <c r="A21" s="103"/>
      <c r="B21" s="14">
        <v>19</v>
      </c>
      <c r="C21" s="1" t="s">
        <v>88</v>
      </c>
      <c r="D21" s="3"/>
      <c r="E21" s="3">
        <v>1.876765</v>
      </c>
      <c r="F21" s="3">
        <v>1.9715400000000001</v>
      </c>
      <c r="G21" s="3">
        <v>26.181546999999998</v>
      </c>
      <c r="H21" s="3">
        <v>18.035371000000001</v>
      </c>
      <c r="I21" s="3">
        <v>15.558854</v>
      </c>
      <c r="J21" s="3">
        <v>34.277467000000001</v>
      </c>
      <c r="K21" s="3">
        <v>37.100597999999998</v>
      </c>
      <c r="L21" s="3">
        <v>38.828010999999996</v>
      </c>
      <c r="M21" s="3">
        <v>29.856722999999999</v>
      </c>
      <c r="N21" s="3">
        <v>31.295147</v>
      </c>
      <c r="O21" s="3">
        <v>39.906211999999996</v>
      </c>
      <c r="P21" s="3">
        <v>58.628028</v>
      </c>
      <c r="Q21" s="3">
        <v>46.741</v>
      </c>
      <c r="R21" s="3">
        <v>44.317</v>
      </c>
      <c r="S21" s="3">
        <v>32.579000000000001</v>
      </c>
      <c r="T21" s="3">
        <v>33.012999999999998</v>
      </c>
      <c r="U21" s="3">
        <v>30.54</v>
      </c>
      <c r="V21" s="3">
        <v>51.042999999999999</v>
      </c>
      <c r="W21" s="3">
        <v>32</v>
      </c>
      <c r="X21" s="3">
        <v>38.9</v>
      </c>
      <c r="Y21" s="3">
        <v>34.1</v>
      </c>
      <c r="Z21" s="3">
        <v>43.6</v>
      </c>
      <c r="AA21" s="3">
        <v>43.1</v>
      </c>
      <c r="AB21" s="3"/>
      <c r="AC21" s="1"/>
      <c r="AD21" s="1"/>
      <c r="AE21" s="1"/>
    </row>
    <row r="22" spans="1:31" x14ac:dyDescent="0.3">
      <c r="A22" s="103"/>
      <c r="B22" s="14">
        <v>20</v>
      </c>
      <c r="C22" s="6" t="s">
        <v>87</v>
      </c>
      <c r="D22" s="7"/>
      <c r="E22" s="7">
        <v>19.295114999999999</v>
      </c>
      <c r="F22" s="7">
        <v>34.167124999999999</v>
      </c>
      <c r="G22" s="7">
        <v>181.10172900000001</v>
      </c>
      <c r="H22" s="7">
        <v>166.252286</v>
      </c>
      <c r="I22" s="7">
        <v>106.896056</v>
      </c>
      <c r="J22" s="7">
        <v>130.374438</v>
      </c>
      <c r="K22" s="7">
        <v>122.857893</v>
      </c>
      <c r="L22" s="7">
        <f>105.456464+9.76875</f>
        <v>115.22521399999999</v>
      </c>
      <c r="M22" s="7">
        <v>85.906428000000005</v>
      </c>
      <c r="N22" s="7">
        <v>116.308346</v>
      </c>
      <c r="O22" s="7">
        <v>113.968288</v>
      </c>
      <c r="P22" s="7">
        <v>126.66158799999999</v>
      </c>
      <c r="Q22" s="7">
        <v>113.06</v>
      </c>
      <c r="R22" s="7">
        <v>130.52199999999999</v>
      </c>
      <c r="S22" s="7">
        <v>276.63</v>
      </c>
      <c r="T22" s="7">
        <v>331.52699999999999</v>
      </c>
      <c r="U22" s="7">
        <v>347.83699999999999</v>
      </c>
      <c r="V22" s="7">
        <v>348.92599999999999</v>
      </c>
      <c r="W22" s="7">
        <v>448.3</v>
      </c>
      <c r="X22" s="7">
        <v>439.1</v>
      </c>
      <c r="Y22" s="7">
        <v>429.8</v>
      </c>
      <c r="Z22" s="7">
        <v>352.3</v>
      </c>
      <c r="AA22" s="7">
        <v>365</v>
      </c>
      <c r="AB22" s="7"/>
      <c r="AC22" s="1"/>
      <c r="AD22" s="1"/>
      <c r="AE22" s="1"/>
    </row>
    <row r="23" spans="1:31" x14ac:dyDescent="0.3">
      <c r="A23" s="103"/>
      <c r="B23" s="14">
        <v>16</v>
      </c>
      <c r="C23" s="1" t="s">
        <v>20</v>
      </c>
      <c r="D23" s="3"/>
      <c r="E23" s="3">
        <v>143.62871999999999</v>
      </c>
      <c r="F23" s="3">
        <v>352.4</v>
      </c>
      <c r="G23" s="3">
        <v>809.88199999999995</v>
      </c>
      <c r="H23" s="3">
        <v>360.517</v>
      </c>
      <c r="I23" s="3">
        <v>391.51131299999997</v>
      </c>
      <c r="J23" s="3">
        <v>509.309551</v>
      </c>
      <c r="K23" s="3">
        <v>438.67496</v>
      </c>
      <c r="L23" s="3">
        <v>424.06483200000002</v>
      </c>
      <c r="M23" s="3">
        <v>388.99514699999997</v>
      </c>
      <c r="N23" s="3">
        <v>191.74794700000001</v>
      </c>
      <c r="O23" s="3">
        <v>189.634927</v>
      </c>
      <c r="P23" s="3">
        <v>250.18345600000001</v>
      </c>
      <c r="Q23" s="3">
        <v>235.01400000000001</v>
      </c>
      <c r="R23" s="3">
        <v>219.23400000000001</v>
      </c>
      <c r="S23" s="3">
        <v>1060.213</v>
      </c>
      <c r="T23" s="3">
        <v>1060.1289999999999</v>
      </c>
      <c r="U23" s="3">
        <v>1054.0999999999999</v>
      </c>
      <c r="V23" s="3">
        <v>1044.0999999999999</v>
      </c>
      <c r="W23" s="3">
        <v>1099.3</v>
      </c>
      <c r="X23" s="3">
        <v>1046.3</v>
      </c>
      <c r="Y23" s="3">
        <v>1005.3</v>
      </c>
      <c r="Z23" s="3">
        <v>949.5</v>
      </c>
      <c r="AA23" s="3">
        <v>930.9</v>
      </c>
      <c r="AB23" s="3"/>
      <c r="AC23" s="1"/>
      <c r="AD23" s="1"/>
      <c r="AE23" s="1"/>
    </row>
    <row r="25" spans="1:31" x14ac:dyDescent="0.3">
      <c r="A25" s="9" t="s">
        <v>71</v>
      </c>
      <c r="B25" s="8"/>
      <c r="C25" s="9" t="s">
        <v>26</v>
      </c>
      <c r="D25" s="8">
        <v>98</v>
      </c>
      <c r="E25" s="8">
        <v>99</v>
      </c>
      <c r="F25" s="8">
        <v>2000</v>
      </c>
      <c r="G25" s="8">
        <v>1</v>
      </c>
      <c r="H25" s="8">
        <v>2</v>
      </c>
      <c r="I25" s="8">
        <v>3</v>
      </c>
      <c r="J25" s="8">
        <v>4</v>
      </c>
      <c r="K25" s="8">
        <v>5</v>
      </c>
      <c r="L25" s="8">
        <v>6</v>
      </c>
      <c r="M25" s="8">
        <v>7</v>
      </c>
      <c r="N25" s="8">
        <v>8</v>
      </c>
      <c r="O25" s="8">
        <v>9</v>
      </c>
      <c r="P25" s="8">
        <v>10</v>
      </c>
      <c r="Q25" s="8">
        <v>11</v>
      </c>
      <c r="R25" s="8">
        <v>12</v>
      </c>
      <c r="S25" s="8">
        <v>13</v>
      </c>
      <c r="T25" s="8">
        <v>14</v>
      </c>
      <c r="U25" s="8">
        <v>15</v>
      </c>
      <c r="V25" s="8">
        <v>16</v>
      </c>
      <c r="W25" s="8">
        <v>17</v>
      </c>
      <c r="X25" s="8">
        <v>18</v>
      </c>
      <c r="Y25" s="8">
        <v>19</v>
      </c>
      <c r="Z25" s="8">
        <v>20</v>
      </c>
      <c r="AA25" s="8" t="s">
        <v>3</v>
      </c>
      <c r="AB25" s="8" t="s">
        <v>94</v>
      </c>
      <c r="AC25" s="8" t="s">
        <v>116</v>
      </c>
      <c r="AD25" s="8" t="s">
        <v>117</v>
      </c>
      <c r="AE25" s="8" t="s">
        <v>118</v>
      </c>
    </row>
    <row r="26" spans="1:31" x14ac:dyDescent="0.3">
      <c r="A26" s="6" t="s">
        <v>65</v>
      </c>
      <c r="B26" s="17" t="s">
        <v>27</v>
      </c>
      <c r="C26" s="6" t="s">
        <v>85</v>
      </c>
      <c r="D26" s="7">
        <f t="shared" ref="D26:P26" si="0">D4*D5</f>
        <v>0</v>
      </c>
      <c r="E26" s="7">
        <f t="shared" si="0"/>
        <v>2149.82861</v>
      </c>
      <c r="F26" s="7">
        <f t="shared" si="0"/>
        <v>1008.148152</v>
      </c>
      <c r="G26" s="7">
        <f t="shared" si="0"/>
        <v>487.5</v>
      </c>
      <c r="H26" s="7">
        <f t="shared" si="0"/>
        <v>785.79809927999986</v>
      </c>
      <c r="I26" s="7">
        <f t="shared" si="0"/>
        <v>1208.0391708</v>
      </c>
      <c r="J26" s="7">
        <f t="shared" si="0"/>
        <v>2859.1725089900001</v>
      </c>
      <c r="K26" s="7">
        <f t="shared" si="0"/>
        <v>2653.5194186111116</v>
      </c>
      <c r="L26" s="7">
        <f t="shared" si="0"/>
        <v>3145.7366462608693</v>
      </c>
      <c r="M26" s="7">
        <f t="shared" si="0"/>
        <v>3088.1509106250001</v>
      </c>
      <c r="N26" s="7">
        <f t="shared" si="0"/>
        <v>1195.4928934375</v>
      </c>
      <c r="O26" s="7">
        <f t="shared" si="0"/>
        <v>1320.2137324799999</v>
      </c>
      <c r="P26" s="7">
        <f t="shared" si="0"/>
        <v>1038.6433137500001</v>
      </c>
      <c r="Q26" s="7">
        <f t="shared" ref="Q26:Z26" si="1">Q4*Q5</f>
        <v>735.62973807272726</v>
      </c>
      <c r="R26" s="7">
        <f t="shared" si="1"/>
        <v>912.97799999999995</v>
      </c>
      <c r="S26" s="7">
        <f t="shared" si="1"/>
        <v>2026.6200000000001</v>
      </c>
      <c r="T26" s="7">
        <f t="shared" si="1"/>
        <v>2620.7925333333333</v>
      </c>
      <c r="U26" s="7">
        <f t="shared" si="1"/>
        <v>3735.8564500000007</v>
      </c>
      <c r="V26" s="7">
        <f t="shared" si="1"/>
        <v>2887.3889399999998</v>
      </c>
      <c r="W26" s="7">
        <f t="shared" si="1"/>
        <v>2810.9308500000002</v>
      </c>
      <c r="X26" s="7">
        <f t="shared" si="1"/>
        <v>2716.8115500000004</v>
      </c>
      <c r="Y26" s="7">
        <f t="shared" si="1"/>
        <v>2463.5039999999999</v>
      </c>
      <c r="Z26" s="7">
        <f t="shared" si="1"/>
        <v>1464.7250000000001</v>
      </c>
      <c r="AA26" s="7">
        <f t="shared" ref="AA26:AE26" si="2">AA4*AA5</f>
        <v>1750.8304000000003</v>
      </c>
      <c r="AB26" s="7">
        <f t="shared" si="2"/>
        <v>1803.2012800000002</v>
      </c>
      <c r="AC26" s="7">
        <f t="shared" si="2"/>
        <v>1803.2364000000002</v>
      </c>
      <c r="AD26" s="7">
        <f t="shared" si="2"/>
        <v>1800.778</v>
      </c>
      <c r="AE26" s="7">
        <f t="shared" si="2"/>
        <v>1799.9</v>
      </c>
    </row>
    <row r="27" spans="1:31" x14ac:dyDescent="0.3">
      <c r="A27" s="1" t="s">
        <v>66</v>
      </c>
      <c r="B27" s="2" t="s">
        <v>28</v>
      </c>
      <c r="C27" s="1" t="s">
        <v>47</v>
      </c>
      <c r="D27" s="30" t="e">
        <f t="shared" ref="D27:P27" si="3">D26/D6</f>
        <v>#DIV/0!</v>
      </c>
      <c r="E27" s="30">
        <f t="shared" si="3"/>
        <v>13.022720583251168</v>
      </c>
      <c r="F27" s="30">
        <f t="shared" si="3"/>
        <v>3.8702070786280562</v>
      </c>
      <c r="G27" s="30">
        <f t="shared" si="3"/>
        <v>0.76427668854196396</v>
      </c>
      <c r="H27" s="30">
        <f t="shared" si="3"/>
        <v>1.13214626143891</v>
      </c>
      <c r="I27" s="30">
        <f t="shared" si="3"/>
        <v>1.7317024157464533</v>
      </c>
      <c r="J27" s="30">
        <f t="shared" si="3"/>
        <v>4.7751794584040663</v>
      </c>
      <c r="K27" s="30">
        <f t="shared" si="3"/>
        <v>4.2222945961695197</v>
      </c>
      <c r="L27" s="30">
        <f t="shared" si="3"/>
        <v>4.7199062239377119</v>
      </c>
      <c r="M27" s="30">
        <f t="shared" si="3"/>
        <v>4.3151190684944325</v>
      </c>
      <c r="N27" s="30">
        <f t="shared" si="3"/>
        <v>1.5394781572473415</v>
      </c>
      <c r="O27" s="30">
        <f t="shared" si="3"/>
        <v>1.6040742445756715</v>
      </c>
      <c r="P27" s="30">
        <f t="shared" si="3"/>
        <v>1.1906277633174962</v>
      </c>
      <c r="Q27" s="30">
        <f t="shared" ref="Q27:Z27" si="4">Q26/Q6</f>
        <v>0.86055831373785485</v>
      </c>
      <c r="R27" s="30">
        <f t="shared" si="4"/>
        <v>1.0633333333333332</v>
      </c>
      <c r="S27" s="30">
        <f t="shared" si="4"/>
        <v>2.046555497097224</v>
      </c>
      <c r="T27" s="30">
        <f t="shared" si="4"/>
        <v>1.8937265312748537</v>
      </c>
      <c r="U27" s="30">
        <f t="shared" si="4"/>
        <v>2.5866118652223737</v>
      </c>
      <c r="V27" s="30">
        <f t="shared" si="4"/>
        <v>1.9059062858711959</v>
      </c>
      <c r="W27" s="30">
        <f t="shared" si="4"/>
        <v>1.7998216461569887</v>
      </c>
      <c r="X27" s="30">
        <f t="shared" si="4"/>
        <v>1.7238651967005079</v>
      </c>
      <c r="Y27" s="30">
        <f t="shared" si="4"/>
        <v>1.5406529080675422</v>
      </c>
      <c r="Z27" s="30">
        <f t="shared" si="4"/>
        <v>1.0707054093567252</v>
      </c>
      <c r="AA27" s="30">
        <f t="shared" ref="AA27:AE27" si="5">AA26/AA6</f>
        <v>1.2417236879432627</v>
      </c>
      <c r="AB27" s="30">
        <f t="shared" si="5"/>
        <v>1.2333798084815324</v>
      </c>
      <c r="AC27" s="30">
        <f t="shared" si="5"/>
        <v>1.2134834454912518</v>
      </c>
      <c r="AD27" s="30">
        <f t="shared" si="5"/>
        <v>1.2045337792642141</v>
      </c>
      <c r="AE27" s="30">
        <f t="shared" si="5"/>
        <v>1.1919867549668874</v>
      </c>
    </row>
    <row r="28" spans="1:31" x14ac:dyDescent="0.3">
      <c r="A28" s="6" t="s">
        <v>67</v>
      </c>
      <c r="B28" s="17" t="s">
        <v>29</v>
      </c>
      <c r="C28" s="6" t="s">
        <v>48</v>
      </c>
      <c r="D28" s="29" t="e">
        <f t="shared" ref="D28:P28" si="6">D26/D7</f>
        <v>#DIV/0!</v>
      </c>
      <c r="E28" s="29">
        <f t="shared" si="6"/>
        <v>93.470809130434787</v>
      </c>
      <c r="F28" s="29">
        <f t="shared" si="6"/>
        <v>-22.410762520840279</v>
      </c>
      <c r="G28" s="29">
        <f t="shared" si="6"/>
        <v>10.82852065748556</v>
      </c>
      <c r="H28" s="29">
        <f t="shared" si="6"/>
        <v>10.230946791656899</v>
      </c>
      <c r="I28" s="29">
        <f t="shared" si="6"/>
        <v>17.156780619170124</v>
      </c>
      <c r="J28" s="29">
        <f t="shared" si="6"/>
        <v>28.138293375135717</v>
      </c>
      <c r="K28" s="29">
        <f t="shared" si="6"/>
        <v>13.476715694793134</v>
      </c>
      <c r="L28" s="29">
        <f t="shared" si="6"/>
        <v>14.738244947118885</v>
      </c>
      <c r="M28" s="29">
        <f t="shared" si="6"/>
        <v>16.351688996759695</v>
      </c>
      <c r="N28" s="29">
        <f t="shared" si="6"/>
        <v>5.5407628954120813</v>
      </c>
      <c r="O28" s="29">
        <f t="shared" si="6"/>
        <v>4.70904692699433</v>
      </c>
      <c r="P28" s="29">
        <f t="shared" si="6"/>
        <v>3.4444016120268111</v>
      </c>
      <c r="Q28" s="29">
        <f t="shared" ref="Q28:Z28" si="7">Q26/Q7</f>
        <v>2.370944823162553</v>
      </c>
      <c r="R28" s="29">
        <f t="shared" si="7"/>
        <v>2.9272154232380974</v>
      </c>
      <c r="S28" s="29">
        <f t="shared" si="7"/>
        <v>6.3790769850612854</v>
      </c>
      <c r="T28" s="29">
        <f t="shared" si="7"/>
        <v>5.3848766338946019</v>
      </c>
      <c r="U28" s="29">
        <f t="shared" si="7"/>
        <v>7.2293140015287429</v>
      </c>
      <c r="V28" s="29">
        <f t="shared" si="7"/>
        <v>5.1866156637327094</v>
      </c>
      <c r="W28" s="29">
        <f t="shared" si="7"/>
        <v>4.841424130210128</v>
      </c>
      <c r="X28" s="29">
        <f t="shared" si="7"/>
        <v>4.5907596316323094</v>
      </c>
      <c r="Y28" s="29">
        <f t="shared" si="7"/>
        <v>3.842620496022461</v>
      </c>
      <c r="Z28" s="29">
        <f t="shared" si="7"/>
        <v>2.4282576259946951</v>
      </c>
      <c r="AA28" s="29">
        <f t="shared" ref="AA28:AE28" si="8">AA26/AA7</f>
        <v>2.8518868908001047</v>
      </c>
      <c r="AB28" s="29">
        <f t="shared" si="8"/>
        <v>2.8284622913790942</v>
      </c>
      <c r="AC28" s="29">
        <f t="shared" si="8"/>
        <v>2.7800265170202274</v>
      </c>
      <c r="AD28" s="29">
        <f t="shared" si="8"/>
        <v>2.753062222901697</v>
      </c>
      <c r="AE28" s="29">
        <f t="shared" si="8"/>
        <v>2.7162151965592698</v>
      </c>
    </row>
    <row r="29" spans="1:31" x14ac:dyDescent="0.3">
      <c r="A29" s="15" t="s">
        <v>68</v>
      </c>
      <c r="B29" s="2" t="s">
        <v>30</v>
      </c>
      <c r="C29" s="1" t="s">
        <v>49</v>
      </c>
      <c r="D29" s="3">
        <f t="shared" ref="D29:P29" si="9">D15-D14</f>
        <v>0</v>
      </c>
      <c r="E29" s="3">
        <f t="shared" si="9"/>
        <v>37.481660000000005</v>
      </c>
      <c r="F29" s="3">
        <f t="shared" si="9"/>
        <v>396.24531500000001</v>
      </c>
      <c r="G29" s="3">
        <f t="shared" si="9"/>
        <v>741.99399999999991</v>
      </c>
      <c r="H29" s="3">
        <f t="shared" si="9"/>
        <v>137.785</v>
      </c>
      <c r="I29" s="3">
        <f t="shared" si="9"/>
        <v>61.616711999999993</v>
      </c>
      <c r="J29" s="3">
        <f t="shared" si="9"/>
        <v>248.07972799999996</v>
      </c>
      <c r="K29" s="3">
        <f t="shared" si="9"/>
        <v>139.93507399999999</v>
      </c>
      <c r="L29" s="3">
        <f t="shared" si="9"/>
        <v>226.791833</v>
      </c>
      <c r="M29" s="3">
        <f t="shared" si="9"/>
        <v>197.04617800000005</v>
      </c>
      <c r="N29" s="3">
        <f t="shared" si="9"/>
        <v>763.71111799999994</v>
      </c>
      <c r="O29" s="3">
        <f t="shared" si="9"/>
        <v>806.02902299999994</v>
      </c>
      <c r="P29" s="3">
        <f t="shared" si="9"/>
        <v>800.97656699999993</v>
      </c>
      <c r="Q29" s="3">
        <f t="shared" ref="Q29:AA29" si="10">Q15-Q14</f>
        <v>822.02299999999991</v>
      </c>
      <c r="R29" s="3">
        <f t="shared" si="10"/>
        <v>776.22199999999998</v>
      </c>
      <c r="S29" s="3">
        <f t="shared" si="10"/>
        <v>1071.5500000000002</v>
      </c>
      <c r="T29" s="3">
        <f t="shared" si="10"/>
        <v>1100.443</v>
      </c>
      <c r="U29" s="3">
        <f t="shared" si="10"/>
        <v>1147.5439999999999</v>
      </c>
      <c r="V29" s="3">
        <f t="shared" si="10"/>
        <v>1194.3950000000002</v>
      </c>
      <c r="W29" s="3">
        <f t="shared" si="10"/>
        <v>1161.7940000000001</v>
      </c>
      <c r="X29" s="3">
        <f t="shared" si="10"/>
        <v>1295.2</v>
      </c>
      <c r="Y29" s="3">
        <f t="shared" si="10"/>
        <v>1347.3</v>
      </c>
      <c r="Z29" s="3">
        <f t="shared" si="10"/>
        <v>1377.3</v>
      </c>
      <c r="AA29" s="3">
        <f t="shared" si="10"/>
        <v>1431.3</v>
      </c>
      <c r="AB29" s="3">
        <f t="shared" ref="AB29" si="11">AB15-AB14</f>
        <v>0</v>
      </c>
      <c r="AC29" s="1"/>
      <c r="AD29" s="1"/>
      <c r="AE29" s="1"/>
    </row>
    <row r="30" spans="1:31" x14ac:dyDescent="0.3">
      <c r="A30" s="6" t="s">
        <v>69</v>
      </c>
      <c r="B30" s="17" t="s">
        <v>31</v>
      </c>
      <c r="C30" s="6" t="s">
        <v>50</v>
      </c>
      <c r="D30" s="7">
        <f t="shared" ref="D30:P30" si="12">D26+D29+D16+D17</f>
        <v>0</v>
      </c>
      <c r="E30" s="7">
        <f t="shared" si="12"/>
        <v>2191.0806199999997</v>
      </c>
      <c r="F30" s="7">
        <f t="shared" si="12"/>
        <v>1442.2414669999998</v>
      </c>
      <c r="G30" s="7">
        <f t="shared" si="12"/>
        <v>1251.011168</v>
      </c>
      <c r="H30" s="7">
        <f t="shared" si="12"/>
        <v>940.21100027999978</v>
      </c>
      <c r="I30" s="7">
        <f t="shared" si="12"/>
        <v>1279.4656728</v>
      </c>
      <c r="J30" s="7">
        <f t="shared" si="12"/>
        <v>3118.45036299</v>
      </c>
      <c r="K30" s="7">
        <f t="shared" si="12"/>
        <v>2803.0088036111115</v>
      </c>
      <c r="L30" s="7">
        <f t="shared" si="12"/>
        <v>3381.9552572608691</v>
      </c>
      <c r="M30" s="7">
        <f t="shared" si="12"/>
        <v>3294.8084586250002</v>
      </c>
      <c r="N30" s="7">
        <f t="shared" si="12"/>
        <v>1968.2347284375001</v>
      </c>
      <c r="O30" s="7">
        <f t="shared" si="12"/>
        <v>2135.4926044799995</v>
      </c>
      <c r="P30" s="7">
        <f t="shared" si="12"/>
        <v>1849.51060175</v>
      </c>
      <c r="Q30" s="7">
        <f t="shared" ref="Q30:AA30" si="13">Q26+Q29+Q16+Q17</f>
        <v>1567.636738072727</v>
      </c>
      <c r="R30" s="7">
        <f t="shared" si="13"/>
        <v>1698.5959999999998</v>
      </c>
      <c r="S30" s="7">
        <f t="shared" si="13"/>
        <v>3107.7849999999999</v>
      </c>
      <c r="T30" s="7">
        <f t="shared" si="13"/>
        <v>3731.0535333333337</v>
      </c>
      <c r="U30" s="7">
        <f t="shared" si="13"/>
        <v>4892.8004500000006</v>
      </c>
      <c r="V30" s="7">
        <f t="shared" si="13"/>
        <v>4090.7839400000003</v>
      </c>
      <c r="W30" s="7">
        <f t="shared" si="13"/>
        <v>3980.5248500000007</v>
      </c>
      <c r="X30" s="7">
        <f t="shared" si="13"/>
        <v>4019.3115500000004</v>
      </c>
      <c r="Y30" s="7">
        <f t="shared" si="13"/>
        <v>3817.8040000000001</v>
      </c>
      <c r="Z30" s="7">
        <f t="shared" si="13"/>
        <v>2848.7249999999999</v>
      </c>
      <c r="AA30" s="7">
        <f t="shared" si="13"/>
        <v>3188.6304</v>
      </c>
      <c r="AB30" s="7"/>
      <c r="AC30" s="1"/>
      <c r="AD30" s="1"/>
      <c r="AE30" s="1"/>
    </row>
    <row r="31" spans="1:31" x14ac:dyDescent="0.3">
      <c r="A31" s="1" t="s">
        <v>70</v>
      </c>
      <c r="B31" s="2" t="s">
        <v>32</v>
      </c>
      <c r="C31" s="1" t="s">
        <v>51</v>
      </c>
      <c r="D31" s="30" t="e">
        <f t="shared" ref="D31:P31" si="14">D30/D7</f>
        <v>#DIV/0!</v>
      </c>
      <c r="E31" s="30">
        <f t="shared" si="14"/>
        <v>95.264374782608684</v>
      </c>
      <c r="F31" s="30">
        <f t="shared" si="14"/>
        <v>-32.060497210181168</v>
      </c>
      <c r="G31" s="30">
        <f t="shared" si="14"/>
        <v>27.787898000888493</v>
      </c>
      <c r="H31" s="30">
        <f t="shared" si="14"/>
        <v>12.241374375439417</v>
      </c>
      <c r="I31" s="30">
        <f t="shared" si="14"/>
        <v>18.171192117430721</v>
      </c>
      <c r="J31" s="30">
        <f t="shared" si="14"/>
        <v>30.689953444120075</v>
      </c>
      <c r="K31" s="30">
        <f t="shared" si="14"/>
        <v>14.235943581690965</v>
      </c>
      <c r="L31" s="30">
        <f t="shared" si="14"/>
        <v>15.844964339577993</v>
      </c>
      <c r="M31" s="30">
        <f t="shared" si="14"/>
        <v>17.445936024035003</v>
      </c>
      <c r="N31" s="30">
        <f t="shared" si="14"/>
        <v>9.1221972231306392</v>
      </c>
      <c r="O31" s="30">
        <f t="shared" si="14"/>
        <v>7.6170506633462862</v>
      </c>
      <c r="P31" s="30">
        <f t="shared" si="14"/>
        <v>6.1334408201483273</v>
      </c>
      <c r="Q31" s="30">
        <f t="shared" ref="Q31:AA31" si="15">Q30/Q7</f>
        <v>5.0525148948852134</v>
      </c>
      <c r="R31" s="30">
        <f t="shared" si="15"/>
        <v>5.446085676818651</v>
      </c>
      <c r="S31" s="30">
        <f t="shared" si="15"/>
        <v>9.7821988177451544</v>
      </c>
      <c r="T31" s="30">
        <f t="shared" si="15"/>
        <v>7.6661020420044048</v>
      </c>
      <c r="U31" s="30">
        <f t="shared" si="15"/>
        <v>9.4681343550743584</v>
      </c>
      <c r="V31" s="30">
        <f t="shared" si="15"/>
        <v>7.3482736482845334</v>
      </c>
      <c r="W31" s="30">
        <f t="shared" si="15"/>
        <v>6.8558815880124016</v>
      </c>
      <c r="X31" s="30">
        <f t="shared" si="15"/>
        <v>6.7916721020615087</v>
      </c>
      <c r="Y31" s="30">
        <f t="shared" si="15"/>
        <v>5.9550834503197629</v>
      </c>
      <c r="Z31" s="30">
        <f t="shared" si="15"/>
        <v>4.7226873342175058</v>
      </c>
      <c r="AA31" s="30">
        <f t="shared" si="15"/>
        <v>5.1938858483189998</v>
      </c>
      <c r="AB31" s="30">
        <f t="shared" ref="AB31" si="16">AB30/AB7</f>
        <v>0</v>
      </c>
      <c r="AC31" s="1"/>
      <c r="AD31" s="1"/>
      <c r="AE31" s="1"/>
    </row>
    <row r="32" spans="1:31" x14ac:dyDescent="0.3">
      <c r="A32" s="18" t="s">
        <v>72</v>
      </c>
      <c r="B32" s="17" t="s">
        <v>33</v>
      </c>
      <c r="C32" s="6" t="s">
        <v>109</v>
      </c>
      <c r="D32" s="27" t="e">
        <f t="shared" ref="D32:P32" si="17">D7/D6</f>
        <v>#DIV/0!</v>
      </c>
      <c r="E32" s="27">
        <f t="shared" si="17"/>
        <v>0.13932393122946524</v>
      </c>
      <c r="F32" s="27">
        <f t="shared" si="17"/>
        <v>-0.1726941274322577</v>
      </c>
      <c r="G32" s="27">
        <f t="shared" si="17"/>
        <v>7.0579972344941982E-2</v>
      </c>
      <c r="H32" s="27">
        <f t="shared" si="17"/>
        <v>0.11065899222173151</v>
      </c>
      <c r="I32" s="27">
        <f t="shared" si="17"/>
        <v>0.10093399537973552</v>
      </c>
      <c r="J32" s="27">
        <f t="shared" si="17"/>
        <v>0.16970394738380379</v>
      </c>
      <c r="K32" s="27">
        <f t="shared" si="17"/>
        <v>0.31330293610043625</v>
      </c>
      <c r="L32" s="27">
        <f t="shared" si="17"/>
        <v>0.32024886551097703</v>
      </c>
      <c r="M32" s="27">
        <f t="shared" si="17"/>
        <v>0.26389439460043124</v>
      </c>
      <c r="N32" s="27">
        <f t="shared" si="17"/>
        <v>0.27784588265310467</v>
      </c>
      <c r="O32" s="27">
        <f t="shared" si="17"/>
        <v>0.34063670832847553</v>
      </c>
      <c r="P32" s="27">
        <f t="shared" si="17"/>
        <v>0.3456704233211898</v>
      </c>
      <c r="Q32" s="27">
        <f t="shared" ref="Q32:Y32" si="18">Q7/Q6</f>
        <v>0.36296007622394788</v>
      </c>
      <c r="R32" s="27">
        <f t="shared" si="18"/>
        <v>0.36325762869788031</v>
      </c>
      <c r="S32" s="27">
        <f t="shared" si="18"/>
        <v>0.32082313818910002</v>
      </c>
      <c r="T32" s="27">
        <f t="shared" si="18"/>
        <v>0.35167500762319592</v>
      </c>
      <c r="U32" s="27">
        <f t="shared" si="18"/>
        <v>0.35779492558704701</v>
      </c>
      <c r="V32" s="27">
        <f t="shared" si="18"/>
        <v>0.36746626498628027</v>
      </c>
      <c r="W32" s="27">
        <f t="shared" si="18"/>
        <v>0.37175459074660183</v>
      </c>
      <c r="X32" s="27">
        <f t="shared" si="18"/>
        <v>0.37550761421319795</v>
      </c>
      <c r="Y32" s="27">
        <f t="shared" si="18"/>
        <v>0.40093808630393996</v>
      </c>
      <c r="Z32" s="27">
        <f t="shared" ref="Z32:AE32" si="19">Z7/Z6</f>
        <v>0.4409356725146199</v>
      </c>
      <c r="AA32" s="27">
        <f t="shared" si="19"/>
        <v>0.43540425531914889</v>
      </c>
      <c r="AB32" s="27">
        <f t="shared" si="19"/>
        <v>0.43606019151846787</v>
      </c>
      <c r="AC32" s="27">
        <f t="shared" si="19"/>
        <v>0.4365006729475101</v>
      </c>
      <c r="AD32" s="27">
        <f t="shared" si="19"/>
        <v>0.43752508361204012</v>
      </c>
      <c r="AE32" s="27">
        <f t="shared" si="19"/>
        <v>0.43884105960264896</v>
      </c>
    </row>
    <row r="33" spans="1:31" x14ac:dyDescent="0.3">
      <c r="A33" s="16" t="s">
        <v>73</v>
      </c>
      <c r="B33" s="2" t="s">
        <v>34</v>
      </c>
      <c r="C33" s="1" t="s">
        <v>110</v>
      </c>
      <c r="D33" s="28" t="e">
        <f t="shared" ref="D33:P33" si="20">D8/D6</f>
        <v>#DIV/0!</v>
      </c>
      <c r="E33" s="28">
        <f t="shared" si="20"/>
        <v>-5.4315434589807025E-2</v>
      </c>
      <c r="F33" s="28">
        <f t="shared" si="20"/>
        <v>-0.35897880474703275</v>
      </c>
      <c r="G33" s="28">
        <f t="shared" si="20"/>
        <v>-3.7088192042743058E-2</v>
      </c>
      <c r="H33" s="28">
        <f t="shared" si="20"/>
        <v>-6.4603666526344833E-3</v>
      </c>
      <c r="I33" s="28">
        <f t="shared" si="20"/>
        <v>8.4763720572676796E-2</v>
      </c>
      <c r="J33" s="28">
        <f t="shared" si="20"/>
        <v>8.3825754511328704E-2</v>
      </c>
      <c r="K33" s="28">
        <f t="shared" si="20"/>
        <v>0.21477611278475781</v>
      </c>
      <c r="L33" s="28">
        <f t="shared" si="20"/>
        <v>0.1664532368251265</v>
      </c>
      <c r="M33" s="28">
        <f t="shared" si="20"/>
        <v>0.10272696594934211</v>
      </c>
      <c r="N33" s="28">
        <f t="shared" si="20"/>
        <v>9.8757474706661352E-2</v>
      </c>
      <c r="O33" s="28">
        <f t="shared" si="20"/>
        <v>0.12144569467445734</v>
      </c>
      <c r="P33" s="28">
        <f t="shared" si="20"/>
        <v>9.4286517551744733E-2</v>
      </c>
      <c r="Q33" s="28">
        <f t="shared" ref="Q33:Y33" si="21">Q8/Q6</f>
        <v>0.10840842032798019</v>
      </c>
      <c r="R33" s="28">
        <f t="shared" si="21"/>
        <v>0.11333915676682972</v>
      </c>
      <c r="S33" s="28">
        <f t="shared" si="21"/>
        <v>7.5362102237899381E-2</v>
      </c>
      <c r="T33" s="28">
        <f t="shared" si="21"/>
        <v>0.10650869188848602</v>
      </c>
      <c r="U33" s="28">
        <f t="shared" si="21"/>
        <v>0.10410474241936434</v>
      </c>
      <c r="V33" s="28">
        <f t="shared" si="21"/>
        <v>9.425935448184089E-2</v>
      </c>
      <c r="W33" s="28">
        <f t="shared" si="21"/>
        <v>9.1433957214286501E-2</v>
      </c>
      <c r="X33" s="28">
        <f t="shared" si="21"/>
        <v>0.12741116751269035</v>
      </c>
      <c r="Y33" s="28">
        <f t="shared" si="21"/>
        <v>0.12620387742338962</v>
      </c>
      <c r="Z33" s="28">
        <f t="shared" ref="Z33:AE33" si="22">Z8/Z6</f>
        <v>0.10037280701754386</v>
      </c>
      <c r="AA33" s="28">
        <f t="shared" si="22"/>
        <v>0.13163829787234044</v>
      </c>
      <c r="AB33" s="28">
        <f t="shared" si="22"/>
        <v>0.13830369357045144</v>
      </c>
      <c r="AC33" s="28">
        <f t="shared" si="22"/>
        <v>0.14012113055181696</v>
      </c>
      <c r="AD33" s="28">
        <f t="shared" si="22"/>
        <v>0.14446822742474916</v>
      </c>
      <c r="AE33" s="28">
        <f t="shared" si="22"/>
        <v>0.15041721854304635</v>
      </c>
    </row>
    <row r="34" spans="1:31" x14ac:dyDescent="0.3">
      <c r="A34" s="18" t="s">
        <v>74</v>
      </c>
      <c r="B34" s="17" t="s">
        <v>35</v>
      </c>
      <c r="C34" s="6" t="s">
        <v>54</v>
      </c>
      <c r="D34" s="27" t="e">
        <f t="shared" ref="D34:P34" si="23">D11/D10</f>
        <v>#DIV/0!</v>
      </c>
      <c r="E34" s="27">
        <f t="shared" si="23"/>
        <v>-8.3413289892462314E-2</v>
      </c>
      <c r="F34" s="27">
        <f t="shared" si="23"/>
        <v>-4.3971394317135308E-3</v>
      </c>
      <c r="G34" s="27">
        <f t="shared" si="23"/>
        <v>2.7717469316409397E-2</v>
      </c>
      <c r="H34" s="27">
        <f t="shared" si="23"/>
        <v>-2.7550686428312255E-2</v>
      </c>
      <c r="I34" s="27">
        <f t="shared" si="23"/>
        <v>-2.2121741507003798</v>
      </c>
      <c r="J34" s="27">
        <f t="shared" si="23"/>
        <v>-1.584736739125516</v>
      </c>
      <c r="K34" s="27">
        <f t="shared" si="23"/>
        <v>0.26221958479655105</v>
      </c>
      <c r="L34" s="27">
        <f t="shared" si="23"/>
        <v>0.28155560029601062</v>
      </c>
      <c r="M34" s="27">
        <f t="shared" si="23"/>
        <v>0.25935894603721249</v>
      </c>
      <c r="N34" s="27">
        <f t="shared" si="23"/>
        <v>0.30382937931272319</v>
      </c>
      <c r="O34" s="27">
        <f t="shared" si="23"/>
        <v>0.26096048510461345</v>
      </c>
      <c r="P34" s="27">
        <f t="shared" si="23"/>
        <v>0.20261035875704175</v>
      </c>
      <c r="Q34" s="27">
        <f t="shared" ref="Q34:Y34" si="24">Q11/Q10</f>
        <v>0.29791055845426428</v>
      </c>
      <c r="R34" s="27">
        <f t="shared" si="24"/>
        <v>0.32767702542604576</v>
      </c>
      <c r="S34" s="27">
        <f t="shared" si="24"/>
        <v>0.59342048244980494</v>
      </c>
      <c r="T34" s="27">
        <f t="shared" si="24"/>
        <v>0.186204055972859</v>
      </c>
      <c r="U34" s="27">
        <f t="shared" si="24"/>
        <v>0.28036290674343539</v>
      </c>
      <c r="V34" s="27">
        <f t="shared" si="24"/>
        <v>0.19805209270826835</v>
      </c>
      <c r="W34" s="27">
        <f t="shared" si="24"/>
        <v>0.12335833903783319</v>
      </c>
      <c r="X34" s="27">
        <f t="shared" si="24"/>
        <v>0.20721357850070721</v>
      </c>
      <c r="Y34" s="27">
        <f t="shared" si="24"/>
        <v>0.22857142857142856</v>
      </c>
      <c r="Z34" s="27">
        <f t="shared" ref="Z34:AE34" si="25">Z11/Z10</f>
        <v>0.16085843670013783</v>
      </c>
      <c r="AA34" s="27">
        <f t="shared" si="25"/>
        <v>0.14630309386470897</v>
      </c>
      <c r="AB34" s="27">
        <f t="shared" si="25"/>
        <v>0.18524015911654693</v>
      </c>
      <c r="AC34" s="27">
        <f t="shared" si="25"/>
        <v>0.19086160381149186</v>
      </c>
      <c r="AD34" s="27">
        <f t="shared" si="25"/>
        <v>0.1892895015906681</v>
      </c>
      <c r="AE34" s="27">
        <f t="shared" si="25"/>
        <v>0.1812216052498738</v>
      </c>
    </row>
    <row r="35" spans="1:31" x14ac:dyDescent="0.3">
      <c r="A35" s="16" t="s">
        <v>75</v>
      </c>
      <c r="B35" s="2" t="s">
        <v>36</v>
      </c>
      <c r="C35" s="1" t="s">
        <v>108</v>
      </c>
      <c r="D35" s="28" t="e">
        <f t="shared" ref="D35:P35" si="26">D12/D6</f>
        <v>#DIV/0!</v>
      </c>
      <c r="E35" s="28">
        <f t="shared" si="26"/>
        <v>-9.5295872843530555E-2</v>
      </c>
      <c r="F35" s="28">
        <f t="shared" si="26"/>
        <v>-1.0213755673646066</v>
      </c>
      <c r="G35" s="28">
        <f t="shared" si="26"/>
        <v>-0.14294502694957187</v>
      </c>
      <c r="H35" s="28">
        <f t="shared" si="26"/>
        <v>-0.19371505074370915</v>
      </c>
      <c r="I35" s="28">
        <f t="shared" si="26"/>
        <v>4.4031157310560627E-2</v>
      </c>
      <c r="J35" s="28">
        <f t="shared" si="26"/>
        <v>0.20900948678552578</v>
      </c>
      <c r="K35" s="28">
        <f t="shared" si="26"/>
        <v>0.15751565332860382</v>
      </c>
      <c r="L35" s="28">
        <f t="shared" si="26"/>
        <v>0.11122729831000758</v>
      </c>
      <c r="M35" s="28">
        <f t="shared" si="26"/>
        <v>7.2295188582105666E-2</v>
      </c>
      <c r="N35" s="28">
        <f t="shared" si="26"/>
        <v>6.6392588991799104E-2</v>
      </c>
      <c r="O35" s="28">
        <f t="shared" si="26"/>
        <v>5.5465914404414646E-2</v>
      </c>
      <c r="P35" s="28">
        <f t="shared" si="26"/>
        <v>4.2146115515663579E-2</v>
      </c>
      <c r="Q35" s="28">
        <f t="shared" ref="Q35:Y35" si="27">Q12/Q6</f>
        <v>4.0767189711956947E-2</v>
      </c>
      <c r="R35" s="28">
        <f t="shared" si="27"/>
        <v>4.296296296296296E-2</v>
      </c>
      <c r="S35" s="28">
        <f t="shared" si="27"/>
        <v>1.1369752761651244E-2</v>
      </c>
      <c r="T35" s="28">
        <f t="shared" si="27"/>
        <v>5.4251142034229954E-2</v>
      </c>
      <c r="U35" s="28">
        <f t="shared" si="27"/>
        <v>5.7115359982829114E-2</v>
      </c>
      <c r="V35" s="28">
        <f t="shared" si="27"/>
        <v>5.9404515867981449E-2</v>
      </c>
      <c r="W35" s="28">
        <f t="shared" si="27"/>
        <v>7.9460462817177543E-2</v>
      </c>
      <c r="X35" s="28">
        <f t="shared" si="27"/>
        <v>8.9720812182741125E-2</v>
      </c>
      <c r="Y35" s="28">
        <f t="shared" si="27"/>
        <v>8.9743589743589744E-2</v>
      </c>
      <c r="Z35" s="28">
        <f t="shared" ref="Z35:AE35" si="28">Z12/Z6</f>
        <v>6.725146198830409E-2</v>
      </c>
      <c r="AA35" s="28">
        <f t="shared" si="28"/>
        <v>8.9815602836879435E-2</v>
      </c>
      <c r="AB35" s="28">
        <f t="shared" si="28"/>
        <v>9.2633378932968538E-2</v>
      </c>
      <c r="AC35" s="28">
        <f t="shared" si="28"/>
        <v>9.4138627187079396E-2</v>
      </c>
      <c r="AD35" s="28">
        <f t="shared" si="28"/>
        <v>0.1003010033444816</v>
      </c>
      <c r="AE35" s="28">
        <f t="shared" si="28"/>
        <v>0.10399337748344371</v>
      </c>
    </row>
    <row r="36" spans="1:31" x14ac:dyDescent="0.3">
      <c r="A36" s="18" t="s">
        <v>76</v>
      </c>
      <c r="B36" s="17" t="s">
        <v>37</v>
      </c>
      <c r="C36" s="6" t="s">
        <v>56</v>
      </c>
      <c r="D36" s="29" t="e">
        <f t="shared" ref="D36" si="29">D26/D12</f>
        <v>#DIV/0!</v>
      </c>
      <c r="E36" s="29">
        <f t="shared" ref="E36:Y36" si="30">IF(E26/E12&lt;0,0,E26/E12)</f>
        <v>0</v>
      </c>
      <c r="F36" s="29">
        <f t="shared" si="30"/>
        <v>0</v>
      </c>
      <c r="G36" s="29">
        <f t="shared" si="30"/>
        <v>0</v>
      </c>
      <c r="H36" s="29">
        <f t="shared" si="30"/>
        <v>0</v>
      </c>
      <c r="I36" s="29">
        <f t="shared" si="30"/>
        <v>39.329023389787537</v>
      </c>
      <c r="J36" s="29">
        <f t="shared" si="30"/>
        <v>22.846711562447386</v>
      </c>
      <c r="K36" s="29">
        <f t="shared" si="30"/>
        <v>26.805555555555561</v>
      </c>
      <c r="L36" s="29">
        <f t="shared" si="30"/>
        <v>42.434782608695649</v>
      </c>
      <c r="M36" s="29">
        <f t="shared" si="30"/>
        <v>59.687500000000007</v>
      </c>
      <c r="N36" s="29">
        <f t="shared" si="30"/>
        <v>23.1875</v>
      </c>
      <c r="O36" s="29">
        <f t="shared" si="30"/>
        <v>28.919999999999998</v>
      </c>
      <c r="P36" s="29">
        <f t="shared" si="30"/>
        <v>28.250000000000004</v>
      </c>
      <c r="Q36" s="29">
        <f t="shared" si="30"/>
        <v>21.109090909090909</v>
      </c>
      <c r="R36" s="29">
        <f t="shared" si="30"/>
        <v>24.75</v>
      </c>
      <c r="S36" s="29">
        <f t="shared" si="30"/>
        <v>180</v>
      </c>
      <c r="T36" s="29">
        <f t="shared" si="30"/>
        <v>34.906666666666666</v>
      </c>
      <c r="U36" s="29">
        <f t="shared" si="30"/>
        <v>45.287500000000009</v>
      </c>
      <c r="V36" s="29">
        <f t="shared" si="30"/>
        <v>32.083525267789682</v>
      </c>
      <c r="W36" s="29">
        <f t="shared" si="30"/>
        <v>22.650530620467368</v>
      </c>
      <c r="X36" s="29">
        <f t="shared" si="30"/>
        <v>19.213660183875533</v>
      </c>
      <c r="Y36" s="29">
        <f t="shared" si="30"/>
        <v>17.16727526132404</v>
      </c>
      <c r="Z36" s="29">
        <f t="shared" ref="Z36:AE36" si="31">IF(Z26/Z12&lt;0,0,Z26/Z12)</f>
        <v>15.920923913043479</v>
      </c>
      <c r="AA36" s="29">
        <f t="shared" si="31"/>
        <v>13.825255843335441</v>
      </c>
      <c r="AB36" s="29">
        <f t="shared" si="31"/>
        <v>13.314636934209556</v>
      </c>
      <c r="AC36" s="29">
        <f t="shared" si="31"/>
        <v>12.890388162127389</v>
      </c>
      <c r="AD36" s="29">
        <f t="shared" si="31"/>
        <v>12.009189729909972</v>
      </c>
      <c r="AE36" s="29">
        <f t="shared" si="31"/>
        <v>11.462140992167102</v>
      </c>
    </row>
    <row r="37" spans="1:31" x14ac:dyDescent="0.3">
      <c r="A37" s="16" t="s">
        <v>77</v>
      </c>
      <c r="B37" s="2" t="s">
        <v>38</v>
      </c>
      <c r="C37" s="1" t="s">
        <v>57</v>
      </c>
      <c r="D37" s="30" t="e">
        <f t="shared" ref="D37:P37" si="32">D26/D23</f>
        <v>#DIV/0!</v>
      </c>
      <c r="E37" s="30">
        <f t="shared" si="32"/>
        <v>14.967957731573463</v>
      </c>
      <c r="F37" s="30">
        <f t="shared" si="32"/>
        <v>2.8608063337116914</v>
      </c>
      <c r="G37" s="30">
        <f t="shared" si="32"/>
        <v>0.60193954180979459</v>
      </c>
      <c r="H37" s="30">
        <f t="shared" si="32"/>
        <v>2.1796422894898155</v>
      </c>
      <c r="I37" s="30">
        <f t="shared" si="32"/>
        <v>3.0855792174771719</v>
      </c>
      <c r="J37" s="30">
        <f t="shared" si="32"/>
        <v>5.6138207174324126</v>
      </c>
      <c r="K37" s="30">
        <f t="shared" si="32"/>
        <v>6.0489420654671324</v>
      </c>
      <c r="L37" s="30">
        <f t="shared" si="32"/>
        <v>7.418055940703117</v>
      </c>
      <c r="M37" s="30">
        <f t="shared" si="32"/>
        <v>7.9387903279549148</v>
      </c>
      <c r="N37" s="30">
        <f t="shared" si="32"/>
        <v>6.2347102649161608</v>
      </c>
      <c r="O37" s="30">
        <f t="shared" si="32"/>
        <v>6.9618701225855926</v>
      </c>
      <c r="P37" s="30">
        <f t="shared" si="32"/>
        <v>4.151526765023184</v>
      </c>
      <c r="Q37" s="30">
        <f t="shared" ref="Q37:AA37" si="33">Q26/Q23</f>
        <v>3.1301528337576792</v>
      </c>
      <c r="R37" s="30">
        <f t="shared" si="33"/>
        <v>4.1643996825309939</v>
      </c>
      <c r="S37" s="30">
        <f t="shared" si="33"/>
        <v>1.9115215527445901</v>
      </c>
      <c r="T37" s="30">
        <f t="shared" si="33"/>
        <v>2.4721449307898693</v>
      </c>
      <c r="U37" s="30">
        <f t="shared" si="33"/>
        <v>3.5441195806849453</v>
      </c>
      <c r="V37" s="30">
        <f t="shared" si="33"/>
        <v>2.7654333301407914</v>
      </c>
      <c r="W37" s="30">
        <f t="shared" si="33"/>
        <v>2.55701887564814</v>
      </c>
      <c r="X37" s="30">
        <f t="shared" si="33"/>
        <v>2.5965894580904143</v>
      </c>
      <c r="Y37" s="30">
        <f t="shared" si="33"/>
        <v>2.4505162638018501</v>
      </c>
      <c r="Z37" s="30">
        <f t="shared" si="33"/>
        <v>1.5426276987888363</v>
      </c>
      <c r="AA37" s="30">
        <f t="shared" si="33"/>
        <v>1.8807932108712002</v>
      </c>
      <c r="AB37" s="30"/>
      <c r="AC37" s="1"/>
      <c r="AD37" s="1"/>
      <c r="AE37" s="1"/>
    </row>
    <row r="38" spans="1:31" x14ac:dyDescent="0.3">
      <c r="A38" s="18" t="s">
        <v>78</v>
      </c>
      <c r="B38" s="17" t="s">
        <v>39</v>
      </c>
      <c r="C38" s="6" t="s">
        <v>106</v>
      </c>
      <c r="D38" s="55" t="e">
        <f t="shared" ref="D38:P38" si="34">D8/D23</f>
        <v>#DIV/0!</v>
      </c>
      <c r="E38" s="55">
        <f t="shared" si="34"/>
        <v>-6.242867025480698E-2</v>
      </c>
      <c r="F38" s="55">
        <f t="shared" si="34"/>
        <v>-0.26535242622020433</v>
      </c>
      <c r="G38" s="55">
        <f t="shared" si="34"/>
        <v>-2.921042818583448E-2</v>
      </c>
      <c r="H38" s="55">
        <f t="shared" si="34"/>
        <v>-1.2437693645514636E-2</v>
      </c>
      <c r="I38" s="55">
        <f t="shared" si="34"/>
        <v>0.15103355646839253</v>
      </c>
      <c r="J38" s="55">
        <f t="shared" si="34"/>
        <v>9.8547659083660102E-2</v>
      </c>
      <c r="K38" s="55">
        <f t="shared" si="34"/>
        <v>0.30769247234900299</v>
      </c>
      <c r="L38" s="55">
        <f t="shared" si="34"/>
        <v>0.26160677007047828</v>
      </c>
      <c r="M38" s="55">
        <f t="shared" si="34"/>
        <v>0.18899312643609922</v>
      </c>
      <c r="N38" s="55">
        <f t="shared" si="34"/>
        <v>0.39995646472293128</v>
      </c>
      <c r="O38" s="55">
        <f t="shared" si="34"/>
        <v>0.52708854102598934</v>
      </c>
      <c r="P38" s="55">
        <f t="shared" si="34"/>
        <v>0.3287618626548991</v>
      </c>
      <c r="Q38" s="55">
        <f t="shared" ref="Q38:Z38" si="35">Q8/Q23</f>
        <v>0.39431950011488676</v>
      </c>
      <c r="R38" s="55">
        <f t="shared" si="35"/>
        <v>0.44387731829916893</v>
      </c>
      <c r="S38" s="55">
        <f t="shared" si="35"/>
        <v>7.0389629253744299E-2</v>
      </c>
      <c r="T38" s="55">
        <f t="shared" si="35"/>
        <v>0.13904062618794508</v>
      </c>
      <c r="U38" s="55">
        <f t="shared" si="35"/>
        <v>0.14264206432027324</v>
      </c>
      <c r="V38" s="55">
        <f t="shared" si="35"/>
        <v>0.13676850876352842</v>
      </c>
      <c r="W38" s="55">
        <f t="shared" si="35"/>
        <v>0.12990084599290458</v>
      </c>
      <c r="X38" s="55">
        <f t="shared" si="35"/>
        <v>0.19191436490490302</v>
      </c>
      <c r="Y38" s="55">
        <f t="shared" si="35"/>
        <v>0.20073609867701186</v>
      </c>
      <c r="Z38" s="55">
        <f t="shared" si="35"/>
        <v>0.1446129541864139</v>
      </c>
      <c r="AA38" s="55">
        <f t="shared" ref="AA38" si="36">AA8/AA23</f>
        <v>0.19938768933290366</v>
      </c>
      <c r="AB38" s="55"/>
      <c r="AC38" s="1"/>
      <c r="AD38" s="1"/>
      <c r="AE38" s="1"/>
    </row>
    <row r="39" spans="1:31" x14ac:dyDescent="0.3">
      <c r="A39" s="16" t="s">
        <v>79</v>
      </c>
      <c r="B39" s="2" t="s">
        <v>40</v>
      </c>
      <c r="C39" s="1" t="s">
        <v>107</v>
      </c>
      <c r="D39" s="56" t="e">
        <f t="shared" ref="D39:P39" si="37">D12/D23</f>
        <v>#DIV/0!</v>
      </c>
      <c r="E39" s="56">
        <f t="shared" si="37"/>
        <v>-0.10953046159570315</v>
      </c>
      <c r="F39" s="56">
        <f t="shared" si="37"/>
        <v>-0.75498742905788885</v>
      </c>
      <c r="G39" s="56">
        <f t="shared" si="37"/>
        <v>-0.11258260956534409</v>
      </c>
      <c r="H39" s="56">
        <f t="shared" si="37"/>
        <v>-0.37294608576017224</v>
      </c>
      <c r="I39" s="56">
        <f t="shared" si="37"/>
        <v>7.8455526009282905E-2</v>
      </c>
      <c r="J39" s="56">
        <f t="shared" si="37"/>
        <v>0.24571679395032589</v>
      </c>
      <c r="K39" s="56">
        <f t="shared" si="37"/>
        <v>0.22566001487753029</v>
      </c>
      <c r="L39" s="56">
        <f t="shared" si="37"/>
        <v>0.17481074450427428</v>
      </c>
      <c r="M39" s="56">
        <f t="shared" si="37"/>
        <v>0.1330059112536949</v>
      </c>
      <c r="N39" s="56">
        <f t="shared" si="37"/>
        <v>0.26888238339261072</v>
      </c>
      <c r="O39" s="56">
        <f t="shared" si="37"/>
        <v>0.24072856578788354</v>
      </c>
      <c r="P39" s="56">
        <f t="shared" si="37"/>
        <v>0.14695669964683836</v>
      </c>
      <c r="Q39" s="56">
        <f t="shared" ref="Q39:Z39" si="38">Q12/Q23</f>
        <v>0.14828458730118205</v>
      </c>
      <c r="R39" s="56">
        <f t="shared" si="38"/>
        <v>0.16825857303155531</v>
      </c>
      <c r="S39" s="56">
        <f t="shared" si="38"/>
        <v>1.061956418191439E-2</v>
      </c>
      <c r="T39" s="56">
        <f t="shared" si="38"/>
        <v>7.0821569827822839E-2</v>
      </c>
      <c r="U39" s="56">
        <f t="shared" si="38"/>
        <v>7.8258229769471596E-2</v>
      </c>
      <c r="V39" s="56">
        <f t="shared" si="38"/>
        <v>8.6194808926348052E-2</v>
      </c>
      <c r="W39" s="56">
        <f t="shared" si="38"/>
        <v>0.11289002092240516</v>
      </c>
      <c r="X39" s="56">
        <f t="shared" si="38"/>
        <v>0.13514288444996655</v>
      </c>
      <c r="Y39" s="56">
        <f t="shared" si="38"/>
        <v>0.14274345966378196</v>
      </c>
      <c r="Z39" s="56">
        <f t="shared" si="38"/>
        <v>9.6893101632438125E-2</v>
      </c>
      <c r="AA39" s="56">
        <f t="shared" ref="AA39" si="39">AA12/AA23</f>
        <v>0.13604039101944354</v>
      </c>
      <c r="AB39" s="56"/>
      <c r="AC39" s="1"/>
      <c r="AD39" s="1"/>
      <c r="AE39" s="1"/>
    </row>
    <row r="40" spans="1:31" x14ac:dyDescent="0.3">
      <c r="A40" s="18" t="s">
        <v>80</v>
      </c>
      <c r="B40" s="17" t="s">
        <v>41</v>
      </c>
      <c r="C40" s="6" t="s">
        <v>61</v>
      </c>
      <c r="D40" s="7">
        <f t="shared" ref="D40:P40" si="40">D20-D19</f>
        <v>0</v>
      </c>
      <c r="E40" s="7">
        <f t="shared" si="40"/>
        <v>-2.7894500000000022</v>
      </c>
      <c r="F40" s="7">
        <f t="shared" si="40"/>
        <v>98.382310000000004</v>
      </c>
      <c r="G40" s="7">
        <f t="shared" si="40"/>
        <v>-81.887789999999995</v>
      </c>
      <c r="H40" s="7">
        <f t="shared" si="40"/>
        <v>-25.706575999999984</v>
      </c>
      <c r="I40" s="7">
        <f t="shared" si="40"/>
        <v>-37.645477000000028</v>
      </c>
      <c r="J40" s="7">
        <f t="shared" si="40"/>
        <v>-31.183531000000016</v>
      </c>
      <c r="K40" s="7">
        <f t="shared" si="40"/>
        <v>-63.269497999999999</v>
      </c>
      <c r="L40" s="7">
        <f t="shared" si="40"/>
        <v>-95.308309000000008</v>
      </c>
      <c r="M40" s="7">
        <f t="shared" si="40"/>
        <v>-174.00373500000001</v>
      </c>
      <c r="N40" s="7">
        <f t="shared" si="40"/>
        <v>-301.81065699999999</v>
      </c>
      <c r="O40" s="7">
        <f t="shared" si="40"/>
        <v>-108.15344900000002</v>
      </c>
      <c r="P40" s="7">
        <f t="shared" si="40"/>
        <v>132.68048700000003</v>
      </c>
      <c r="Q40" s="7">
        <f t="shared" ref="Q40:Z40" si="41">Q20-Q19</f>
        <v>-80.127000000000066</v>
      </c>
      <c r="R40" s="7">
        <f t="shared" si="41"/>
        <v>-109.51900000000001</v>
      </c>
      <c r="S40" s="7">
        <f t="shared" si="41"/>
        <v>-307.38699999999994</v>
      </c>
      <c r="T40" s="7">
        <f t="shared" si="41"/>
        <v>-634.01199999999994</v>
      </c>
      <c r="U40" s="7">
        <f t="shared" si="41"/>
        <v>-295.86700000000002</v>
      </c>
      <c r="V40" s="7">
        <f t="shared" si="41"/>
        <v>-231.20799999999997</v>
      </c>
      <c r="W40" s="7">
        <f t="shared" si="41"/>
        <v>-197.82099999999991</v>
      </c>
      <c r="X40" s="7">
        <f t="shared" si="41"/>
        <v>-310.89999999999998</v>
      </c>
      <c r="Y40" s="7">
        <f t="shared" si="41"/>
        <v>-188.70000000000005</v>
      </c>
      <c r="Z40" s="7">
        <f t="shared" si="41"/>
        <v>-113.39999999999998</v>
      </c>
      <c r="AA40" s="7">
        <f t="shared" ref="AA40" si="42">AA20-AA19</f>
        <v>-278.79999999999995</v>
      </c>
      <c r="AB40" s="7"/>
      <c r="AC40" s="1"/>
      <c r="AD40" s="1"/>
      <c r="AE40" s="1"/>
    </row>
    <row r="41" spans="1:31" x14ac:dyDescent="0.3">
      <c r="A41" s="53" t="s">
        <v>96</v>
      </c>
      <c r="B41" s="49" t="s">
        <v>42</v>
      </c>
      <c r="C41" s="52" t="s">
        <v>98</v>
      </c>
      <c r="D41" s="29" t="e">
        <f t="shared" ref="D41:P41" si="43">D20/D19</f>
        <v>#DIV/0!</v>
      </c>
      <c r="E41" s="29">
        <f t="shared" si="43"/>
        <v>0.94531693223569246</v>
      </c>
      <c r="F41" s="29">
        <f t="shared" si="43"/>
        <v>1.8078676645626306</v>
      </c>
      <c r="G41" s="29">
        <f t="shared" si="43"/>
        <v>0.74601332670450238</v>
      </c>
      <c r="H41" s="29">
        <f t="shared" si="43"/>
        <v>0.88831074045130809</v>
      </c>
      <c r="I41" s="29">
        <f t="shared" si="43"/>
        <v>0.83320254295086427</v>
      </c>
      <c r="J41" s="29">
        <f t="shared" si="43"/>
        <v>0.89394662016817161</v>
      </c>
      <c r="K41" s="29">
        <f t="shared" si="43"/>
        <v>0.81184467593201548</v>
      </c>
      <c r="L41" s="29">
        <f t="shared" si="43"/>
        <v>0.73179335487350528</v>
      </c>
      <c r="M41" s="29">
        <f t="shared" si="43"/>
        <v>0.61370528039449523</v>
      </c>
      <c r="N41" s="29">
        <f t="shared" si="43"/>
        <v>0.49483077564959349</v>
      </c>
      <c r="O41" s="29">
        <f t="shared" si="43"/>
        <v>0.801392458716777</v>
      </c>
      <c r="P41" s="29">
        <f t="shared" si="43"/>
        <v>1.3327446256190929</v>
      </c>
      <c r="Q41" s="29">
        <f t="shared" ref="Q41:Z41" si="44">Q20/Q19</f>
        <v>0.89845336131578335</v>
      </c>
      <c r="R41" s="29">
        <f t="shared" si="44"/>
        <v>0.83197143856591405</v>
      </c>
      <c r="S41" s="29">
        <f t="shared" si="44"/>
        <v>0.59672565164229086</v>
      </c>
      <c r="T41" s="29">
        <f t="shared" si="44"/>
        <v>0.42466106462912212</v>
      </c>
      <c r="U41" s="29">
        <f t="shared" si="44"/>
        <v>0.61183974894683879</v>
      </c>
      <c r="V41" s="29">
        <f t="shared" si="44"/>
        <v>0.69611761628816304</v>
      </c>
      <c r="W41" s="29">
        <f t="shared" si="44"/>
        <v>0.73729683501522547</v>
      </c>
      <c r="X41" s="29">
        <f t="shared" si="44"/>
        <v>0.63032104637336506</v>
      </c>
      <c r="Y41" s="29">
        <f t="shared" si="44"/>
        <v>0.74585858585858578</v>
      </c>
      <c r="Z41" s="29">
        <f t="shared" si="44"/>
        <v>0.84435904474334345</v>
      </c>
      <c r="AA41" s="29">
        <f t="shared" ref="AA41" si="45">AA20/AA19</f>
        <v>0.65040752351097186</v>
      </c>
      <c r="AB41" s="29"/>
      <c r="AC41" s="1"/>
      <c r="AD41" s="1"/>
      <c r="AE41" s="1"/>
    </row>
    <row r="42" spans="1:31" x14ac:dyDescent="0.3">
      <c r="A42" s="16" t="s">
        <v>81</v>
      </c>
      <c r="B42" s="17" t="s">
        <v>43</v>
      </c>
      <c r="C42" s="1" t="s">
        <v>60</v>
      </c>
      <c r="D42" s="30" t="e">
        <f t="shared" ref="D42:P42" si="46">(D20-D21)/D19</f>
        <v>#DIV/0!</v>
      </c>
      <c r="E42" s="30">
        <f t="shared" si="46"/>
        <v>0.90852571257852677</v>
      </c>
      <c r="F42" s="30">
        <f t="shared" si="46"/>
        <v>1.7916783372801972</v>
      </c>
      <c r="G42" s="30">
        <f t="shared" si="46"/>
        <v>0.66480752026791745</v>
      </c>
      <c r="H42" s="30">
        <f t="shared" si="46"/>
        <v>0.80995113189527346</v>
      </c>
      <c r="I42" s="30">
        <f t="shared" si="46"/>
        <v>0.76426524985191446</v>
      </c>
      <c r="J42" s="30">
        <f t="shared" si="46"/>
        <v>0.77737094349371272</v>
      </c>
      <c r="K42" s="30">
        <f t="shared" si="46"/>
        <v>0.70151228417183409</v>
      </c>
      <c r="L42" s="30">
        <f t="shared" si="46"/>
        <v>0.62252763946515999</v>
      </c>
      <c r="M42" s="30">
        <f t="shared" si="46"/>
        <v>0.54742225239153752</v>
      </c>
      <c r="N42" s="30">
        <f t="shared" si="46"/>
        <v>0.4424491092993495</v>
      </c>
      <c r="O42" s="30">
        <f t="shared" si="46"/>
        <v>0.72811070283632384</v>
      </c>
      <c r="P42" s="30">
        <f t="shared" si="46"/>
        <v>1.1857135009319664</v>
      </c>
      <c r="Q42" s="30">
        <f t="shared" ref="Q42:Z42" si="47">(Q20-Q21)/Q19</f>
        <v>0.83921750525304595</v>
      </c>
      <c r="R42" s="30">
        <f t="shared" si="47"/>
        <v>0.76397847152755194</v>
      </c>
      <c r="S42" s="30">
        <f t="shared" si="47"/>
        <v>0.55398384735276063</v>
      </c>
      <c r="T42" s="30">
        <f t="shared" si="47"/>
        <v>0.39470317065645477</v>
      </c>
      <c r="U42" s="30">
        <f t="shared" si="47"/>
        <v>0.57177304983148103</v>
      </c>
      <c r="V42" s="30">
        <f t="shared" si="47"/>
        <v>0.62903054096290056</v>
      </c>
      <c r="W42" s="30">
        <f t="shared" si="47"/>
        <v>0.69480134020166773</v>
      </c>
      <c r="X42" s="30">
        <f t="shared" si="47"/>
        <v>0.58406658739595729</v>
      </c>
      <c r="Y42" s="30">
        <f t="shared" si="47"/>
        <v>0.69993265993265985</v>
      </c>
      <c r="Z42" s="30">
        <f t="shared" si="47"/>
        <v>0.78451825418611032</v>
      </c>
      <c r="AA42" s="30">
        <f t="shared" ref="AA42" si="48">(AA20-AA21)/AA19</f>
        <v>0.59636363636363643</v>
      </c>
      <c r="AB42" s="30"/>
      <c r="AC42" s="1"/>
      <c r="AD42" s="1"/>
      <c r="AE42" s="1"/>
    </row>
    <row r="43" spans="1:31" x14ac:dyDescent="0.3">
      <c r="A43" s="18" t="s">
        <v>82</v>
      </c>
      <c r="B43" s="49" t="s">
        <v>44</v>
      </c>
      <c r="C43" s="6" t="s">
        <v>62</v>
      </c>
      <c r="D43" s="29" t="e">
        <f t="shared" ref="D43:P43" si="49">D14/D19</f>
        <v>#DIV/0!</v>
      </c>
      <c r="E43" s="29">
        <f t="shared" si="49"/>
        <v>0.28685012826589912</v>
      </c>
      <c r="F43" s="29">
        <f t="shared" si="49"/>
        <v>0.25534641378161299</v>
      </c>
      <c r="G43" s="29">
        <f t="shared" si="49"/>
        <v>0.10309240299433836</v>
      </c>
      <c r="H43" s="29">
        <f t="shared" si="49"/>
        <v>8.7621054523888048E-2</v>
      </c>
      <c r="I43" s="29">
        <f t="shared" si="49"/>
        <v>0.10723454077994177</v>
      </c>
      <c r="J43" s="29">
        <f t="shared" si="49"/>
        <v>4.8586187095212022E-2</v>
      </c>
      <c r="K43" s="29">
        <f t="shared" si="49"/>
        <v>0.12406026792210335</v>
      </c>
      <c r="L43" s="29">
        <f t="shared" si="49"/>
        <v>0.10926571540834526</v>
      </c>
      <c r="M43" s="29">
        <f t="shared" si="49"/>
        <v>0.14855484641778893</v>
      </c>
      <c r="N43" s="29">
        <f t="shared" si="49"/>
        <v>0.10618508613240386</v>
      </c>
      <c r="O43" s="29">
        <f t="shared" si="49"/>
        <v>0.29974395667543025</v>
      </c>
      <c r="P43" s="29">
        <f t="shared" si="49"/>
        <v>0.66369522559986516</v>
      </c>
      <c r="Q43" s="29">
        <f t="shared" ref="Q43:Z43" si="50">Q14/Q19</f>
        <v>0.51625846253672059</v>
      </c>
      <c r="R43" s="29">
        <f t="shared" si="50"/>
        <v>0.47293138259679524</v>
      </c>
      <c r="S43" s="29">
        <f t="shared" si="50"/>
        <v>9.1993471769601765E-2</v>
      </c>
      <c r="T43" s="29">
        <f t="shared" si="50"/>
        <v>1.7777999600718707E-2</v>
      </c>
      <c r="U43" s="29">
        <f t="shared" si="50"/>
        <v>1.2988222699477454E-2</v>
      </c>
      <c r="V43" s="29">
        <f t="shared" si="50"/>
        <v>3.0229467948220865E-3</v>
      </c>
      <c r="W43" s="29">
        <f t="shared" si="50"/>
        <v>3.9839526387710307E-3</v>
      </c>
      <c r="X43" s="29">
        <f t="shared" si="50"/>
        <v>2.6159334126040429E-3</v>
      </c>
      <c r="Y43" s="29">
        <f t="shared" si="50"/>
        <v>1.7239057239057241E-2</v>
      </c>
      <c r="Z43" s="29">
        <f t="shared" si="50"/>
        <v>0.21040351358770246</v>
      </c>
      <c r="AA43" s="29">
        <f t="shared" ref="AA43" si="51">AA14/AA19</f>
        <v>5.442006269592476E-2</v>
      </c>
      <c r="AB43" s="29"/>
      <c r="AC43" s="1"/>
      <c r="AD43" s="1"/>
      <c r="AE43" s="1"/>
    </row>
    <row r="44" spans="1:31" x14ac:dyDescent="0.3">
      <c r="A44" s="16" t="s">
        <v>83</v>
      </c>
      <c r="B44" s="17" t="s">
        <v>45</v>
      </c>
      <c r="C44" s="1" t="s">
        <v>63</v>
      </c>
      <c r="D44" s="30" t="e">
        <f t="shared" ref="D44:P44" si="52">D29/D7</f>
        <v>#DIV/0!</v>
      </c>
      <c r="E44" s="30">
        <f t="shared" si="52"/>
        <v>1.629637391304348</v>
      </c>
      <c r="F44" s="30">
        <f t="shared" si="52"/>
        <v>-8.8083875736356561</v>
      </c>
      <c r="G44" s="30">
        <f t="shared" si="52"/>
        <v>16.48143047534429</v>
      </c>
      <c r="H44" s="30">
        <f t="shared" si="52"/>
        <v>1.7939353696325808</v>
      </c>
      <c r="I44" s="30">
        <f t="shared" si="52"/>
        <v>0.87509116907071338</v>
      </c>
      <c r="J44" s="30">
        <f t="shared" si="52"/>
        <v>2.4414547023445392</v>
      </c>
      <c r="K44" s="30">
        <f t="shared" si="52"/>
        <v>0.71070337560029095</v>
      </c>
      <c r="L44" s="30">
        <f t="shared" si="52"/>
        <v>1.0625535328054578</v>
      </c>
      <c r="M44" s="30">
        <f t="shared" si="52"/>
        <v>1.0433550412224046</v>
      </c>
      <c r="N44" s="30">
        <f t="shared" si="52"/>
        <v>3.539579573125502</v>
      </c>
      <c r="O44" s="30">
        <f t="shared" si="52"/>
        <v>2.8750106141498515</v>
      </c>
      <c r="P44" s="30">
        <f t="shared" si="52"/>
        <v>2.6562390977222043</v>
      </c>
      <c r="Q44" s="30">
        <f t="shared" ref="Q44:Z44" si="53">Q29/Q7</f>
        <v>2.6493915015951517</v>
      </c>
      <c r="R44" s="30">
        <f t="shared" si="53"/>
        <v>2.488744537389425</v>
      </c>
      <c r="S44" s="30">
        <f t="shared" si="53"/>
        <v>3.3728572417830778</v>
      </c>
      <c r="T44" s="30">
        <f t="shared" si="53"/>
        <v>2.2610526099507906</v>
      </c>
      <c r="U44" s="30">
        <f t="shared" si="53"/>
        <v>2.2206302671427047</v>
      </c>
      <c r="V44" s="30">
        <f t="shared" si="53"/>
        <v>2.1454912879468298</v>
      </c>
      <c r="W44" s="30">
        <f t="shared" si="53"/>
        <v>2.0010230795728559</v>
      </c>
      <c r="X44" s="30">
        <f t="shared" si="53"/>
        <v>2.1885772220344712</v>
      </c>
      <c r="Y44" s="30">
        <f t="shared" si="53"/>
        <v>2.101544220870379</v>
      </c>
      <c r="Z44" s="30">
        <f t="shared" si="53"/>
        <v>2.2833222811671083</v>
      </c>
      <c r="AA44" s="30">
        <f t="shared" ref="AA44" si="54">AA29/AA7</f>
        <v>2.3314112587959346</v>
      </c>
      <c r="AB44" s="30"/>
      <c r="AC44" s="1"/>
      <c r="AD44" s="1"/>
      <c r="AE44" s="1"/>
    </row>
    <row r="45" spans="1:31" x14ac:dyDescent="0.3">
      <c r="A45" s="18" t="s">
        <v>84</v>
      </c>
      <c r="B45" s="54" t="s">
        <v>99</v>
      </c>
      <c r="C45" s="6" t="s">
        <v>64</v>
      </c>
      <c r="D45" s="29" t="e">
        <f t="shared" ref="D45:P45" si="55">D18/D23</f>
        <v>#DIV/0!</v>
      </c>
      <c r="E45" s="29">
        <f t="shared" si="55"/>
        <v>0.85944886231667328</v>
      </c>
      <c r="F45" s="29">
        <f t="shared" si="55"/>
        <v>1.6776364926220206</v>
      </c>
      <c r="G45" s="29">
        <f t="shared" si="55"/>
        <v>1.4428676263949565</v>
      </c>
      <c r="H45" s="29">
        <f t="shared" si="55"/>
        <v>1.3653912353647679</v>
      </c>
      <c r="I45" s="29">
        <f t="shared" si="55"/>
        <v>1.2754137119915103</v>
      </c>
      <c r="J45" s="29">
        <f t="shared" si="55"/>
        <v>1.1970587176363399</v>
      </c>
      <c r="K45" s="29">
        <f t="shared" si="55"/>
        <v>1.2814178748657092</v>
      </c>
      <c r="L45" s="29">
        <f t="shared" si="55"/>
        <v>1.299595430728856</v>
      </c>
      <c r="M45" s="29">
        <f t="shared" si="55"/>
        <v>1.5708965978436744</v>
      </c>
      <c r="N45" s="29">
        <f t="shared" si="55"/>
        <v>5.9001791137821149</v>
      </c>
      <c r="O45" s="29">
        <f t="shared" si="55"/>
        <v>6.8001626989315103</v>
      </c>
      <c r="P45" s="29">
        <f t="shared" si="55"/>
        <v>5.5980073998178357</v>
      </c>
      <c r="Q45" s="29">
        <f t="shared" ref="Q45:Z45" si="56">Q18/Q23</f>
        <v>6.5978920404741839</v>
      </c>
      <c r="R45" s="29">
        <f t="shared" si="56"/>
        <v>6.3480983789010832</v>
      </c>
      <c r="S45" s="29">
        <f t="shared" si="56"/>
        <v>1.7252354008109692</v>
      </c>
      <c r="T45" s="29">
        <f t="shared" si="56"/>
        <v>1.7882738798768829</v>
      </c>
      <c r="U45" s="29">
        <f t="shared" si="56"/>
        <v>1.8237358884356325</v>
      </c>
      <c r="V45" s="29">
        <f t="shared" si="56"/>
        <v>1.856718705104875</v>
      </c>
      <c r="W45" s="29">
        <f t="shared" si="56"/>
        <v>1.7346493222960067</v>
      </c>
      <c r="X45" s="29">
        <f t="shared" si="56"/>
        <v>1.9234445187804645</v>
      </c>
      <c r="Y45" s="29">
        <f t="shared" si="56"/>
        <v>2.0719188301999405</v>
      </c>
      <c r="Z45" s="29">
        <f t="shared" si="56"/>
        <v>2.3413375460768826</v>
      </c>
      <c r="AA45" s="29">
        <f t="shared" ref="AA45" si="57">AA18/AA23</f>
        <v>2.3331184874852293</v>
      </c>
      <c r="AB45" s="29"/>
      <c r="AC45" s="1"/>
      <c r="AD45" s="1"/>
      <c r="AE45" s="1"/>
    </row>
    <row r="46" spans="1:31" x14ac:dyDescent="0.3">
      <c r="A46" s="18" t="s">
        <v>97</v>
      </c>
      <c r="B46" s="17" t="s">
        <v>100</v>
      </c>
      <c r="C46" s="6" t="s">
        <v>111</v>
      </c>
      <c r="D46" s="28">
        <f t="shared" ref="D46:P46" si="58">D13/D4</f>
        <v>0</v>
      </c>
      <c r="E46" s="28">
        <f t="shared" si="58"/>
        <v>0</v>
      </c>
      <c r="F46" s="28">
        <f t="shared" si="58"/>
        <v>0</v>
      </c>
      <c r="G46" s="28">
        <f t="shared" si="58"/>
        <v>0</v>
      </c>
      <c r="H46" s="28">
        <f t="shared" si="58"/>
        <v>0</v>
      </c>
      <c r="I46" s="28">
        <f t="shared" si="58"/>
        <v>3.9891202597402593</v>
      </c>
      <c r="J46" s="28">
        <f t="shared" si="58"/>
        <v>4.7088337474103376E-3</v>
      </c>
      <c r="K46" s="28">
        <f t="shared" si="58"/>
        <v>2.9834610006900551E-2</v>
      </c>
      <c r="L46" s="28">
        <f t="shared" si="58"/>
        <v>0</v>
      </c>
      <c r="M46" s="28">
        <f t="shared" si="58"/>
        <v>0</v>
      </c>
      <c r="N46" s="28">
        <f t="shared" si="58"/>
        <v>0</v>
      </c>
      <c r="O46" s="28">
        <f t="shared" si="58"/>
        <v>3.6848720629965859E-2</v>
      </c>
      <c r="P46" s="28">
        <f t="shared" si="58"/>
        <v>4.8310296071551635E-2</v>
      </c>
      <c r="Q46" s="28">
        <f t="shared" ref="Q46:AE46" si="59">Q13/Q4</f>
        <v>6.7963538465674697E-2</v>
      </c>
      <c r="R46" s="28">
        <f t="shared" si="59"/>
        <v>5.5746140651801029E-2</v>
      </c>
      <c r="S46" s="28">
        <f t="shared" si="59"/>
        <v>1.8391706387976041E-2</v>
      </c>
      <c r="T46" s="28">
        <f t="shared" si="59"/>
        <v>2.3661926387254662E-2</v>
      </c>
      <c r="U46" s="28">
        <f t="shared" si="59"/>
        <v>1.9330507198690675E-2</v>
      </c>
      <c r="V46" s="28">
        <f t="shared" si="59"/>
        <v>3.547357218871941E-2</v>
      </c>
      <c r="W46" s="28">
        <f t="shared" si="59"/>
        <v>5.4734537493158181E-2</v>
      </c>
      <c r="X46" s="28">
        <f t="shared" si="59"/>
        <v>6.6100094428706319E-2</v>
      </c>
      <c r="Y46" s="28">
        <f t="shared" si="59"/>
        <v>7.2916666666666671E-2</v>
      </c>
      <c r="Z46" s="28">
        <f t="shared" si="59"/>
        <v>9.7970608817354796E-2</v>
      </c>
      <c r="AA46" s="28">
        <f t="shared" si="59"/>
        <v>8.2111436950146638E-2</v>
      </c>
      <c r="AB46" s="28">
        <f t="shared" si="59"/>
        <v>8.2574031890660593E-2</v>
      </c>
      <c r="AC46" s="28">
        <f t="shared" si="59"/>
        <v>8.5421412300683369E-2</v>
      </c>
      <c r="AD46" s="28">
        <f t="shared" si="59"/>
        <v>8.2574031890660593E-2</v>
      </c>
      <c r="AE46" s="28">
        <f t="shared" si="59"/>
        <v>8.5421412300683369E-2</v>
      </c>
    </row>
    <row r="51" spans="3:3" x14ac:dyDescent="0.3">
      <c r="C51" s="39"/>
    </row>
    <row r="52" spans="3:3" x14ac:dyDescent="0.3">
      <c r="C52" s="39"/>
    </row>
  </sheetData>
  <mergeCells count="2">
    <mergeCell ref="A6:A13"/>
    <mergeCell ref="A14:A23"/>
  </mergeCells>
  <pageMargins left="0.7" right="0.7" top="0.75" bottom="0.75" header="0.3" footer="0.3"/>
  <ignoredErrors>
    <ignoredError sqref="Q5" formula="1"/>
  </ignoredError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1B2A4-DBCD-4E3E-A328-96A96C9CF186}">
  <sheetPr codeName="Planilha28"/>
  <dimension ref="A3:AB46"/>
  <sheetViews>
    <sheetView zoomScale="98" zoomScaleNormal="98" workbookViewId="0">
      <pane xSplit="3" ySplit="3" topLeftCell="N25" activePane="bottomRight" state="frozen"/>
      <selection activeCell="C22" sqref="C22"/>
      <selection pane="topRight" activeCell="C22" sqref="C22"/>
      <selection pane="bottomLeft" activeCell="C22" sqref="C22"/>
      <selection pane="bottomRight" activeCell="AE38" sqref="AE38"/>
    </sheetView>
  </sheetViews>
  <sheetFormatPr defaultRowHeight="14.4" x14ac:dyDescent="0.3"/>
  <cols>
    <col min="1" max="1" width="10" bestFit="1" customWidth="1"/>
    <col min="2" max="2" width="4" bestFit="1" customWidth="1"/>
    <col min="3" max="3" width="27.6640625" bestFit="1" customWidth="1"/>
    <col min="4" max="26" width="8.33203125" customWidth="1"/>
  </cols>
  <sheetData>
    <row r="3" spans="1:28" s="10" customFormat="1" x14ac:dyDescent="0.3">
      <c r="A3" s="9" t="s">
        <v>25</v>
      </c>
      <c r="B3" s="8" t="s">
        <v>23</v>
      </c>
      <c r="C3" s="9" t="s">
        <v>24</v>
      </c>
      <c r="D3" s="8">
        <v>99</v>
      </c>
      <c r="E3" s="8">
        <v>2000</v>
      </c>
      <c r="F3" s="8">
        <v>1</v>
      </c>
      <c r="G3" s="8">
        <v>2</v>
      </c>
      <c r="H3" s="8">
        <v>3</v>
      </c>
      <c r="I3" s="8">
        <v>4</v>
      </c>
      <c r="J3" s="8">
        <v>5</v>
      </c>
      <c r="K3" s="8">
        <v>6</v>
      </c>
      <c r="L3" s="8">
        <v>7</v>
      </c>
      <c r="M3" s="8">
        <v>8</v>
      </c>
      <c r="N3" s="8">
        <v>9</v>
      </c>
      <c r="O3" s="8">
        <v>10</v>
      </c>
      <c r="P3" s="8">
        <v>11</v>
      </c>
      <c r="Q3" s="8">
        <v>12</v>
      </c>
      <c r="R3" s="8">
        <v>13</v>
      </c>
      <c r="S3" s="8">
        <v>14</v>
      </c>
      <c r="T3" s="8">
        <v>15</v>
      </c>
      <c r="U3" s="8">
        <v>16</v>
      </c>
      <c r="V3" s="8">
        <v>17</v>
      </c>
      <c r="W3" s="8">
        <v>18</v>
      </c>
      <c r="X3" s="8">
        <v>19</v>
      </c>
      <c r="Y3" s="8">
        <v>20</v>
      </c>
      <c r="Z3" s="8" t="s">
        <v>3</v>
      </c>
      <c r="AA3" s="8" t="s">
        <v>94</v>
      </c>
      <c r="AB3" s="8" t="s">
        <v>116</v>
      </c>
    </row>
    <row r="4" spans="1:28" x14ac:dyDescent="0.3">
      <c r="A4" s="4" t="s">
        <v>5</v>
      </c>
      <c r="B4" s="11">
        <v>1</v>
      </c>
      <c r="C4" s="6" t="s">
        <v>4</v>
      </c>
      <c r="D4" s="19">
        <v>9.83</v>
      </c>
      <c r="E4">
        <v>12.1</v>
      </c>
      <c r="F4" s="19">
        <v>7.93</v>
      </c>
      <c r="G4" s="19">
        <v>5.48</v>
      </c>
      <c r="H4" s="19">
        <v>5.58</v>
      </c>
      <c r="I4" s="19">
        <v>5.93</v>
      </c>
      <c r="J4" s="19">
        <v>6</v>
      </c>
      <c r="K4" s="19">
        <v>5.2</v>
      </c>
      <c r="L4" s="19">
        <v>3.09</v>
      </c>
      <c r="M4" s="19">
        <v>4.34</v>
      </c>
      <c r="N4" s="19">
        <v>4.2</v>
      </c>
      <c r="O4" s="19">
        <v>2.9</v>
      </c>
      <c r="P4" s="19">
        <v>2.09</v>
      </c>
      <c r="Q4" s="19">
        <v>2.2999999999999998</v>
      </c>
      <c r="R4" s="19">
        <v>2.61</v>
      </c>
      <c r="S4" s="19">
        <v>2.214</v>
      </c>
      <c r="T4" s="19">
        <v>2.0099999999999998</v>
      </c>
      <c r="U4" s="19">
        <v>2.3694000000000002</v>
      </c>
      <c r="V4" s="19">
        <v>2.9013</v>
      </c>
      <c r="W4" s="19">
        <v>1.9219999999999999</v>
      </c>
      <c r="X4" s="19">
        <v>2.58</v>
      </c>
      <c r="Y4" s="19">
        <v>3.21</v>
      </c>
      <c r="Z4" s="19">
        <v>5.12</v>
      </c>
      <c r="AA4" s="19">
        <v>4.9800000000000004</v>
      </c>
      <c r="AB4" s="19">
        <v>4.9800000000000004</v>
      </c>
    </row>
    <row r="5" spans="1:28" x14ac:dyDescent="0.3">
      <c r="A5" s="5" t="s">
        <v>8</v>
      </c>
      <c r="B5" s="12">
        <v>3</v>
      </c>
      <c r="C5" s="1" t="s">
        <v>6</v>
      </c>
      <c r="D5" s="3">
        <v>9.0508100000000002</v>
      </c>
      <c r="E5" s="3">
        <v>19.958765</v>
      </c>
      <c r="F5" s="3">
        <v>28.256</v>
      </c>
      <c r="G5" s="3">
        <v>28.257660000000001</v>
      </c>
      <c r="H5" s="3">
        <v>28.256</v>
      </c>
      <c r="I5" s="3">
        <v>28.254999999999999</v>
      </c>
      <c r="J5" s="3">
        <v>28.65</v>
      </c>
      <c r="K5" s="3">
        <v>30.408999999999999</v>
      </c>
      <c r="L5" s="3">
        <v>30.434799999999999</v>
      </c>
      <c r="M5" s="3">
        <v>30.5</v>
      </c>
      <c r="N5" s="3">
        <v>30</v>
      </c>
      <c r="O5" s="3">
        <v>30.465</v>
      </c>
      <c r="P5" s="3">
        <v>29.454999999999998</v>
      </c>
      <c r="Q5" s="3">
        <v>30.407</v>
      </c>
      <c r="R5" s="3">
        <v>31.292000000000002</v>
      </c>
      <c r="S5" s="3">
        <v>31.12</v>
      </c>
      <c r="T5" s="3">
        <v>30.9375</v>
      </c>
      <c r="U5" s="3">
        <v>30.893999999999998</v>
      </c>
      <c r="V5" s="3">
        <v>31.827000000000002</v>
      </c>
      <c r="W5" s="3">
        <v>31.024782999999999</v>
      </c>
      <c r="X5" s="3">
        <v>31.4</v>
      </c>
      <c r="Y5" s="3">
        <v>31.4</v>
      </c>
      <c r="Z5" s="3">
        <v>30.91</v>
      </c>
      <c r="AA5" s="3">
        <v>30.91</v>
      </c>
      <c r="AB5" s="3">
        <v>30.91</v>
      </c>
    </row>
    <row r="6" spans="1:28" x14ac:dyDescent="0.3">
      <c r="A6" s="101" t="s">
        <v>7</v>
      </c>
      <c r="B6" s="13">
        <v>4</v>
      </c>
      <c r="C6" s="6" t="s">
        <v>104</v>
      </c>
      <c r="D6" s="7">
        <v>25.744</v>
      </c>
      <c r="E6" s="7">
        <v>52.847000000000001</v>
      </c>
      <c r="F6" s="7">
        <v>96.465999999999994</v>
      </c>
      <c r="G6" s="7">
        <v>114.063</v>
      </c>
      <c r="H6" s="7">
        <v>128.19999999999999</v>
      </c>
      <c r="I6" s="7">
        <v>171.6</v>
      </c>
      <c r="J6" s="7">
        <v>226.4</v>
      </c>
      <c r="K6" s="7">
        <v>261.5</v>
      </c>
      <c r="L6" s="7">
        <v>313.2</v>
      </c>
      <c r="M6" s="7">
        <v>292</v>
      </c>
      <c r="N6" s="7">
        <v>241.4</v>
      </c>
      <c r="O6" s="7">
        <v>236.3</v>
      </c>
      <c r="P6" s="7">
        <v>229.63300000000001</v>
      </c>
      <c r="Q6" s="7">
        <v>212.07499999999999</v>
      </c>
      <c r="R6" s="7">
        <v>216.83</v>
      </c>
      <c r="S6" s="7">
        <v>220.85499999999999</v>
      </c>
      <c r="T6" s="7">
        <v>127.17700000000001</v>
      </c>
      <c r="U6" s="7">
        <v>135.654</v>
      </c>
      <c r="V6" s="7">
        <v>142.16999999999999</v>
      </c>
      <c r="W6" s="7">
        <v>140.49</v>
      </c>
      <c r="X6" s="7">
        <v>149.03</v>
      </c>
      <c r="Y6" s="7">
        <v>125.1</v>
      </c>
      <c r="Z6" s="67">
        <v>137</v>
      </c>
      <c r="AA6" s="1">
        <v>148.5</v>
      </c>
      <c r="AB6" s="1">
        <v>161.5</v>
      </c>
    </row>
    <row r="7" spans="1:28" x14ac:dyDescent="0.3">
      <c r="A7" s="101"/>
      <c r="B7" s="13">
        <v>5</v>
      </c>
      <c r="C7" s="1" t="s">
        <v>9</v>
      </c>
      <c r="D7" s="3">
        <v>7.9109999999999996</v>
      </c>
      <c r="E7" s="3">
        <v>8.17</v>
      </c>
      <c r="F7" s="3">
        <v>16.649999999999999</v>
      </c>
      <c r="G7" s="3">
        <v>18.844000000000001</v>
      </c>
      <c r="H7" s="3">
        <v>8.4</v>
      </c>
      <c r="I7" s="3">
        <v>17.100000000000001</v>
      </c>
      <c r="J7" s="3">
        <v>17.3</v>
      </c>
      <c r="K7" s="3">
        <v>16.399999999999999</v>
      </c>
      <c r="L7" s="3">
        <v>20</v>
      </c>
      <c r="M7" s="3">
        <v>21.1</v>
      </c>
      <c r="N7" s="3">
        <v>21.7</v>
      </c>
      <c r="O7" s="3">
        <v>22.2</v>
      </c>
      <c r="P7" s="3">
        <v>10.747</v>
      </c>
      <c r="Q7" s="3">
        <v>18.059999999999999</v>
      </c>
      <c r="R7" s="3">
        <v>14.86</v>
      </c>
      <c r="S7" s="3">
        <v>13.137</v>
      </c>
      <c r="T7" s="3">
        <v>11.997999999999999</v>
      </c>
      <c r="U7" s="3">
        <v>5.9050000000000002</v>
      </c>
      <c r="V7" s="3">
        <v>10.92</v>
      </c>
      <c r="W7" s="3">
        <v>10.3</v>
      </c>
      <c r="X7" s="3">
        <v>9.359</v>
      </c>
      <c r="Y7" s="3">
        <v>11.83</v>
      </c>
      <c r="Z7" s="66">
        <v>13</v>
      </c>
      <c r="AA7" s="1">
        <v>15</v>
      </c>
      <c r="AB7" s="1">
        <v>16.5</v>
      </c>
    </row>
    <row r="8" spans="1:28" x14ac:dyDescent="0.3">
      <c r="A8" s="101"/>
      <c r="B8" s="13">
        <v>6</v>
      </c>
      <c r="C8" s="6" t="s">
        <v>10</v>
      </c>
      <c r="D8" s="7">
        <v>3.6869999999999998</v>
      </c>
      <c r="E8" s="7">
        <v>5.9969999999999999</v>
      </c>
      <c r="F8" s="7">
        <v>11.666</v>
      </c>
      <c r="G8" s="7">
        <v>12.404999999999999</v>
      </c>
      <c r="H8" s="7">
        <v>2.5640000000000001</v>
      </c>
      <c r="I8" s="7">
        <v>11.856</v>
      </c>
      <c r="J8" s="7">
        <v>6.069</v>
      </c>
      <c r="K8" s="7">
        <v>8.6050000000000004</v>
      </c>
      <c r="L8" s="7">
        <v>16.945</v>
      </c>
      <c r="M8" s="7">
        <v>15.249000000000001</v>
      </c>
      <c r="N8" s="7">
        <v>16.622</v>
      </c>
      <c r="O8" s="7">
        <v>16.690000000000001</v>
      </c>
      <c r="P8" s="7">
        <v>4.6219999999999999</v>
      </c>
      <c r="Q8" s="7">
        <v>12.303000000000001</v>
      </c>
      <c r="R8" s="7">
        <v>9.1289999999999996</v>
      </c>
      <c r="S8" s="7">
        <v>7.22</v>
      </c>
      <c r="T8" s="7">
        <v>7.9690000000000003</v>
      </c>
      <c r="U8" s="7">
        <v>2.12</v>
      </c>
      <c r="V8" s="7">
        <v>7.7050000000000001</v>
      </c>
      <c r="W8" s="7">
        <v>7.359</v>
      </c>
      <c r="X8" s="7">
        <v>4.6440000000000001</v>
      </c>
      <c r="Y8" s="7">
        <v>7.4749999999999996</v>
      </c>
      <c r="Z8" s="67">
        <v>9</v>
      </c>
      <c r="AA8" s="1">
        <v>10.5</v>
      </c>
      <c r="AB8" s="1">
        <v>12.5</v>
      </c>
    </row>
    <row r="9" spans="1:28" x14ac:dyDescent="0.3">
      <c r="A9" s="101"/>
      <c r="B9" s="13">
        <v>11</v>
      </c>
      <c r="C9" s="1" t="s">
        <v>11</v>
      </c>
      <c r="D9" s="3">
        <v>-0.25700000000000001</v>
      </c>
      <c r="E9" s="3">
        <v>3.36</v>
      </c>
      <c r="F9" s="3">
        <v>-0.20799999999999999</v>
      </c>
      <c r="G9" s="3">
        <v>-0.58799999999999997</v>
      </c>
      <c r="H9" s="3">
        <f>H10-H8</f>
        <v>-1.3420000000000001</v>
      </c>
      <c r="I9" s="3">
        <f>I10-I8</f>
        <v>-1.1750000000000007</v>
      </c>
      <c r="J9" s="3">
        <f t="shared" ref="J9:K9" si="0">J10-J8</f>
        <v>-2.8319999999999999</v>
      </c>
      <c r="K9" s="3">
        <f t="shared" si="0"/>
        <v>-3.1610000000000005</v>
      </c>
      <c r="L9" s="3">
        <f t="shared" ref="L9" si="1">L10-L8</f>
        <v>-2.5419999999999998</v>
      </c>
      <c r="M9" s="3">
        <f t="shared" ref="M9" si="2">M10-M8</f>
        <v>-3.33</v>
      </c>
      <c r="N9" s="3">
        <f t="shared" ref="N9" si="3">N10-N8</f>
        <v>-0.9399999999999995</v>
      </c>
      <c r="O9" s="3">
        <f t="shared" ref="O9" si="4">O10-O8</f>
        <v>-0.37000000000000099</v>
      </c>
      <c r="P9" s="3">
        <f t="shared" ref="P9" si="5">P10-P8</f>
        <v>-1.5009999999999999</v>
      </c>
      <c r="Q9" s="3">
        <f t="shared" ref="Q9" si="6">Q10-Q8</f>
        <v>-0.16600000000000037</v>
      </c>
      <c r="R9" s="3">
        <f t="shared" ref="R9" si="7">R10-R8</f>
        <v>-0.57399999999999984</v>
      </c>
      <c r="S9" s="3">
        <f t="shared" ref="S9" si="8">S10-S8</f>
        <v>-1.7649999999999997</v>
      </c>
      <c r="T9" s="3">
        <f t="shared" ref="T9" si="9">T10-T8</f>
        <v>-1.6870000000000003</v>
      </c>
      <c r="U9" s="3">
        <f t="shared" ref="U9:V9" si="10">U10-U8</f>
        <v>-0.95100000000000007</v>
      </c>
      <c r="V9" s="3">
        <f t="shared" si="10"/>
        <v>0.11699999999999999</v>
      </c>
      <c r="W9" s="3">
        <v>-4.0389999999999997</v>
      </c>
      <c r="X9" s="3">
        <v>-0.83499999999999996</v>
      </c>
      <c r="Y9" s="3">
        <v>-1.746</v>
      </c>
      <c r="Z9" s="66">
        <v>-0.85</v>
      </c>
      <c r="AA9" s="1">
        <v>-0.85</v>
      </c>
      <c r="AB9" s="1">
        <v>-0.85</v>
      </c>
    </row>
    <row r="10" spans="1:28" x14ac:dyDescent="0.3">
      <c r="A10" s="101"/>
      <c r="B10" s="13">
        <v>12</v>
      </c>
      <c r="C10" s="6" t="s">
        <v>12</v>
      </c>
      <c r="D10" s="7">
        <v>3.6</v>
      </c>
      <c r="E10" s="7">
        <v>9.0150000000000006</v>
      </c>
      <c r="F10" s="7">
        <v>12.375</v>
      </c>
      <c r="G10" s="7">
        <v>10.086</v>
      </c>
      <c r="H10" s="7">
        <v>1.222</v>
      </c>
      <c r="I10" s="7">
        <v>10.680999999999999</v>
      </c>
      <c r="J10" s="7">
        <v>3.2370000000000001</v>
      </c>
      <c r="K10" s="7">
        <v>5.444</v>
      </c>
      <c r="L10" s="7">
        <v>14.403</v>
      </c>
      <c r="M10" s="7">
        <v>11.919</v>
      </c>
      <c r="N10" s="7">
        <v>15.682</v>
      </c>
      <c r="O10" s="7">
        <v>16.32</v>
      </c>
      <c r="P10" s="7">
        <v>3.121</v>
      </c>
      <c r="Q10" s="7">
        <v>12.137</v>
      </c>
      <c r="R10" s="7">
        <v>8.5549999999999997</v>
      </c>
      <c r="S10" s="7">
        <v>5.4550000000000001</v>
      </c>
      <c r="T10" s="7">
        <v>6.282</v>
      </c>
      <c r="U10" s="7">
        <v>1.169</v>
      </c>
      <c r="V10" s="7">
        <v>7.8220000000000001</v>
      </c>
      <c r="W10" s="7">
        <v>6.1139999999999999</v>
      </c>
      <c r="X10" s="7">
        <v>18.13</v>
      </c>
      <c r="Y10" s="7">
        <v>5.7290000000000001</v>
      </c>
      <c r="Z10" s="67">
        <v>7</v>
      </c>
      <c r="AA10" s="1">
        <v>9</v>
      </c>
      <c r="AB10" s="1">
        <v>12</v>
      </c>
    </row>
    <row r="11" spans="1:28" x14ac:dyDescent="0.3">
      <c r="A11" s="101"/>
      <c r="B11" s="13">
        <v>13</v>
      </c>
      <c r="C11" s="1" t="s">
        <v>13</v>
      </c>
      <c r="D11" s="3">
        <v>1.579</v>
      </c>
      <c r="E11" s="3">
        <v>2.4209999999999998</v>
      </c>
      <c r="F11" s="3">
        <v>2.4870000000000001</v>
      </c>
      <c r="G11" s="3">
        <v>-0.111</v>
      </c>
      <c r="H11" s="3">
        <v>8.5999999999999993E-2</v>
      </c>
      <c r="I11" s="3">
        <v>1.0920000000000001</v>
      </c>
      <c r="J11" s="3">
        <v>0.312</v>
      </c>
      <c r="K11" s="3">
        <v>7.8E-2</v>
      </c>
      <c r="L11" s="3">
        <v>1.0620000000000001</v>
      </c>
      <c r="M11" s="3">
        <v>1.554</v>
      </c>
      <c r="N11" s="3">
        <v>2.6339999999999999</v>
      </c>
      <c r="O11" s="3">
        <v>2.6280000000000001</v>
      </c>
      <c r="P11" s="3">
        <v>0.88400000000000001</v>
      </c>
      <c r="Q11" s="3">
        <v>2.3759999999999999</v>
      </c>
      <c r="R11" s="3">
        <v>0.69299999999999995</v>
      </c>
      <c r="S11" s="3">
        <v>-0.85699999999999998</v>
      </c>
      <c r="T11" s="3">
        <v>1.411</v>
      </c>
      <c r="U11" s="3">
        <v>3.0019999999999998</v>
      </c>
      <c r="V11" s="3">
        <v>1.3819999999999999</v>
      </c>
      <c r="W11" s="3">
        <v>1.1000000000000001</v>
      </c>
      <c r="X11" s="3">
        <v>0.35299999999999998</v>
      </c>
      <c r="Y11" s="3">
        <v>1.9119999999999999</v>
      </c>
      <c r="Z11" s="66">
        <v>1.8</v>
      </c>
      <c r="AA11" s="1">
        <v>1.9</v>
      </c>
      <c r="AB11" s="1">
        <v>2.5499999999999998</v>
      </c>
    </row>
    <row r="12" spans="1:28" x14ac:dyDescent="0.3">
      <c r="A12" s="101"/>
      <c r="B12" s="13">
        <v>14</v>
      </c>
      <c r="C12" s="6" t="s">
        <v>105</v>
      </c>
      <c r="D12" s="7">
        <v>2.0243199999999999</v>
      </c>
      <c r="E12" s="7">
        <v>6.5940000000000003</v>
      </c>
      <c r="F12" s="7">
        <v>9.8879999999999999</v>
      </c>
      <c r="G12" s="7">
        <v>10.196999999999999</v>
      </c>
      <c r="H12" s="7">
        <v>-0.1</v>
      </c>
      <c r="I12" s="7">
        <v>4.3</v>
      </c>
      <c r="J12" s="7">
        <v>5.1689999999999996</v>
      </c>
      <c r="K12" s="7">
        <v>5.0839999999999996</v>
      </c>
      <c r="L12" s="7">
        <v>6.9969999999999999</v>
      </c>
      <c r="M12" s="7">
        <v>1.6080000000000001</v>
      </c>
      <c r="N12" s="7">
        <v>12.9</v>
      </c>
      <c r="O12" s="7">
        <v>13.1</v>
      </c>
      <c r="P12" s="7">
        <v>2.94</v>
      </c>
      <c r="Q12" s="7">
        <v>9.7609999999999992</v>
      </c>
      <c r="R12" s="7">
        <v>9.2479999999999993</v>
      </c>
      <c r="S12" s="7">
        <v>4.8090000000000002</v>
      </c>
      <c r="T12" s="7">
        <v>7.4249999999999998</v>
      </c>
      <c r="U12" s="7">
        <v>9.6</v>
      </c>
      <c r="V12" s="7">
        <v>4.8</v>
      </c>
      <c r="W12" s="7">
        <v>4.7</v>
      </c>
      <c r="X12" s="7">
        <v>20.399999999999999</v>
      </c>
      <c r="Y12" s="7">
        <v>7.4859999999999998</v>
      </c>
      <c r="Z12" s="67">
        <v>5.5</v>
      </c>
      <c r="AA12" s="1">
        <v>6.5</v>
      </c>
      <c r="AB12" s="1">
        <v>8</v>
      </c>
    </row>
    <row r="13" spans="1:28" x14ac:dyDescent="0.3">
      <c r="A13" s="101"/>
      <c r="B13" s="13">
        <v>2</v>
      </c>
      <c r="C13" s="1" t="s">
        <v>15</v>
      </c>
      <c r="D13" s="22">
        <v>0.52</v>
      </c>
      <c r="E13" s="22">
        <v>7.2999999999999995E-2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0.13</v>
      </c>
      <c r="P13" s="22">
        <v>0.2</v>
      </c>
      <c r="Q13" s="22">
        <v>0.06</v>
      </c>
      <c r="R13" s="22">
        <v>0.59</v>
      </c>
      <c r="S13" s="22">
        <v>0.246</v>
      </c>
      <c r="T13" s="22">
        <v>0.09</v>
      </c>
      <c r="U13" s="22">
        <v>0.11</v>
      </c>
      <c r="V13" s="22">
        <v>0.47</v>
      </c>
      <c r="W13" s="22">
        <v>0.11</v>
      </c>
      <c r="X13" s="22">
        <v>0.26</v>
      </c>
      <c r="Y13" s="68">
        <v>0</v>
      </c>
      <c r="Z13" s="68">
        <v>0</v>
      </c>
      <c r="AA13" s="22">
        <v>0.43</v>
      </c>
      <c r="AB13" s="22">
        <v>0.43</v>
      </c>
    </row>
    <row r="14" spans="1:28" x14ac:dyDescent="0.3">
      <c r="A14" s="102" t="s">
        <v>14</v>
      </c>
      <c r="B14" s="14">
        <v>8</v>
      </c>
      <c r="C14" s="6" t="s">
        <v>16</v>
      </c>
      <c r="D14" s="7">
        <v>6.2439999999999998</v>
      </c>
      <c r="E14" s="7">
        <v>26.224</v>
      </c>
      <c r="F14" s="7">
        <v>25.08</v>
      </c>
      <c r="G14" s="7">
        <v>25.542000000000002</v>
      </c>
      <c r="H14" s="7">
        <v>29.902999999999999</v>
      </c>
      <c r="I14" s="7">
        <v>37.338999999999999</v>
      </c>
      <c r="J14" s="7">
        <v>31.632999999999999</v>
      </c>
      <c r="K14" s="7">
        <v>31.152000000000001</v>
      </c>
      <c r="L14" s="7">
        <v>38.335000000000001</v>
      </c>
      <c r="M14" s="7">
        <v>24.71</v>
      </c>
      <c r="N14" s="7">
        <v>24.972000000000001</v>
      </c>
      <c r="O14" s="7">
        <v>28.088000000000001</v>
      </c>
      <c r="P14" s="7">
        <v>27.157</v>
      </c>
      <c r="Q14" s="7">
        <v>40.451999999999998</v>
      </c>
      <c r="R14" s="7">
        <v>32.942</v>
      </c>
      <c r="S14" s="7">
        <v>20.713999999999999</v>
      </c>
      <c r="T14" s="7">
        <v>25.1</v>
      </c>
      <c r="U14" s="7">
        <v>40.1</v>
      </c>
      <c r="V14" s="7">
        <v>63.5</v>
      </c>
      <c r="W14" s="7">
        <v>64.8</v>
      </c>
      <c r="X14" s="7">
        <v>51.5</v>
      </c>
      <c r="Y14" s="7">
        <v>71.900000000000006</v>
      </c>
      <c r="Z14" s="7">
        <v>68.5</v>
      </c>
      <c r="AA14" s="1"/>
      <c r="AB14" s="1"/>
    </row>
    <row r="15" spans="1:28" x14ac:dyDescent="0.3">
      <c r="A15" s="103"/>
      <c r="B15" s="14">
        <v>7</v>
      </c>
      <c r="C15" s="1" t="s">
        <v>17</v>
      </c>
      <c r="D15" s="3">
        <v>5.9</v>
      </c>
      <c r="E15" s="3">
        <v>3.798</v>
      </c>
      <c r="F15" s="3">
        <v>3.7360000000000002</v>
      </c>
      <c r="G15" s="3">
        <v>10.234999999999999</v>
      </c>
      <c r="H15" s="3">
        <v>12.563000000000001</v>
      </c>
      <c r="I15" s="3">
        <v>18.163</v>
      </c>
      <c r="J15" s="3">
        <v>18.696000000000002</v>
      </c>
      <c r="K15" s="3">
        <v>25.853000000000002</v>
      </c>
      <c r="L15" s="3">
        <v>18.454000000000001</v>
      </c>
      <c r="M15" s="3">
        <v>11.955</v>
      </c>
      <c r="N15" s="3">
        <v>8.4700000000000006</v>
      </c>
      <c r="O15" s="3">
        <v>13.212</v>
      </c>
      <c r="P15" s="3">
        <v>17.306999999999999</v>
      </c>
      <c r="Q15" s="3">
        <v>16.533000000000001</v>
      </c>
      <c r="R15" s="3">
        <v>21.384</v>
      </c>
      <c r="S15" s="3">
        <v>16.407</v>
      </c>
      <c r="T15" s="3">
        <v>25.2</v>
      </c>
      <c r="U15" s="3">
        <v>25.8</v>
      </c>
      <c r="V15" s="3">
        <v>23.7</v>
      </c>
      <c r="W15" s="3">
        <v>19.7</v>
      </c>
      <c r="X15" s="3">
        <v>30.4</v>
      </c>
      <c r="Y15" s="3">
        <v>30.9</v>
      </c>
      <c r="Z15" s="3">
        <v>25.9</v>
      </c>
      <c r="AA15" s="1"/>
      <c r="AB15" s="1"/>
    </row>
    <row r="16" spans="1:28" x14ac:dyDescent="0.3">
      <c r="A16" s="103"/>
      <c r="B16" s="14">
        <v>9</v>
      </c>
      <c r="C16" s="6" t="s">
        <v>92</v>
      </c>
      <c r="D16" s="7">
        <v>13.9</v>
      </c>
      <c r="E16" s="7">
        <v>3.8740000000000001</v>
      </c>
      <c r="F16" s="7">
        <v>3.677</v>
      </c>
      <c r="G16" s="7">
        <v>5.0069999999999997</v>
      </c>
      <c r="H16" s="7">
        <v>6.0869999999999997</v>
      </c>
      <c r="I16" s="7">
        <v>12.247999999999999</v>
      </c>
      <c r="J16" s="7">
        <v>12.018000000000001</v>
      </c>
      <c r="K16" s="7">
        <v>11.211</v>
      </c>
      <c r="L16" s="7">
        <v>13.641</v>
      </c>
      <c r="M16" s="7">
        <v>5.165</v>
      </c>
      <c r="N16" s="7">
        <v>5.6440000000000001</v>
      </c>
      <c r="O16" s="7">
        <v>5.7240000000000002</v>
      </c>
      <c r="P16" s="7">
        <v>9.8109999999999999</v>
      </c>
      <c r="Q16" s="7">
        <v>10.613</v>
      </c>
      <c r="R16" s="7">
        <v>11.522</v>
      </c>
      <c r="S16" s="7">
        <v>12.430999999999999</v>
      </c>
      <c r="T16" s="7">
        <v>8.1940000000000008</v>
      </c>
      <c r="U16" s="7">
        <v>8.1509999999999998</v>
      </c>
      <c r="V16" s="7">
        <v>13.597</v>
      </c>
      <c r="W16" s="7">
        <v>13.8</v>
      </c>
      <c r="X16" s="7">
        <v>18.3</v>
      </c>
      <c r="Y16" s="7">
        <v>10</v>
      </c>
      <c r="Z16" s="7">
        <v>9.1</v>
      </c>
      <c r="AA16" s="1"/>
      <c r="AB16" s="1"/>
    </row>
    <row r="17" spans="1:28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1"/>
      <c r="AB17" s="1"/>
    </row>
    <row r="18" spans="1:28" x14ac:dyDescent="0.3">
      <c r="A18" s="103"/>
      <c r="B18" s="14">
        <v>15</v>
      </c>
      <c r="C18" s="6" t="s">
        <v>19</v>
      </c>
      <c r="D18" s="7">
        <v>18.5</v>
      </c>
      <c r="E18" s="7">
        <v>28.193999999999999</v>
      </c>
      <c r="F18" s="7">
        <v>40.950000000000003</v>
      </c>
      <c r="G18" s="7">
        <v>49.256999999999998</v>
      </c>
      <c r="H18" s="7">
        <v>60.470999999999997</v>
      </c>
      <c r="I18" s="7">
        <v>89.191999999999993</v>
      </c>
      <c r="J18" s="7">
        <v>110.688</v>
      </c>
      <c r="K18" s="7">
        <v>126.03700000000001</v>
      </c>
      <c r="L18" s="7">
        <v>143.095</v>
      </c>
      <c r="M18" s="7">
        <v>114.61199999999999</v>
      </c>
      <c r="N18" s="7">
        <v>95.622</v>
      </c>
      <c r="O18" s="7">
        <v>97.998000000000005</v>
      </c>
      <c r="P18" s="7">
        <v>103.863</v>
      </c>
      <c r="Q18" s="7">
        <v>108.066</v>
      </c>
      <c r="R18" s="7">
        <v>112.94499999999999</v>
      </c>
      <c r="S18" s="7">
        <v>111.18600000000001</v>
      </c>
      <c r="T18" s="7">
        <v>141.19999999999999</v>
      </c>
      <c r="U18" s="7">
        <v>120.3</v>
      </c>
      <c r="V18" s="7">
        <v>116.7</v>
      </c>
      <c r="W18" s="7">
        <v>105.4</v>
      </c>
      <c r="X18" s="7">
        <v>122.6</v>
      </c>
      <c r="Y18" s="7">
        <v>112.7</v>
      </c>
      <c r="Z18" s="7">
        <v>108.7</v>
      </c>
      <c r="AA18" s="1"/>
      <c r="AB18" s="1"/>
    </row>
    <row r="19" spans="1:28" x14ac:dyDescent="0.3">
      <c r="A19" s="103"/>
      <c r="B19" s="14">
        <v>18</v>
      </c>
      <c r="C19" s="1" t="s">
        <v>21</v>
      </c>
      <c r="D19" s="3">
        <v>17</v>
      </c>
      <c r="E19" s="3">
        <v>22.347999999999999</v>
      </c>
      <c r="F19" s="3">
        <v>28.417999999999999</v>
      </c>
      <c r="G19" s="3">
        <v>33.264000000000003</v>
      </c>
      <c r="H19" s="3">
        <v>50.408999999999999</v>
      </c>
      <c r="I19" s="3">
        <v>79.653000000000006</v>
      </c>
      <c r="J19" s="3">
        <v>97.805000000000007</v>
      </c>
      <c r="K19" s="3">
        <v>115.626</v>
      </c>
      <c r="L19" s="3">
        <v>135.279</v>
      </c>
      <c r="M19" s="3">
        <v>105.393</v>
      </c>
      <c r="N19" s="3">
        <v>87.367000000000004</v>
      </c>
      <c r="O19" s="3">
        <v>85.905000000000001</v>
      </c>
      <c r="P19" s="3">
        <v>89.361000000000004</v>
      </c>
      <c r="Q19" s="3">
        <v>93.852999999999994</v>
      </c>
      <c r="R19" s="3">
        <v>94.037999999999997</v>
      </c>
      <c r="S19" s="3">
        <v>97.489000000000004</v>
      </c>
      <c r="T19" s="3">
        <v>101.6</v>
      </c>
      <c r="U19" s="3">
        <v>82.126999999999995</v>
      </c>
      <c r="V19" s="3">
        <v>74.206999999999994</v>
      </c>
      <c r="W19" s="3">
        <v>69</v>
      </c>
      <c r="X19" s="3">
        <v>64.900000000000006</v>
      </c>
      <c r="Y19" s="3">
        <v>66</v>
      </c>
      <c r="Z19" s="3">
        <v>69.5</v>
      </c>
      <c r="AA19" s="1"/>
      <c r="AB19" s="1"/>
    </row>
    <row r="20" spans="1:28" x14ac:dyDescent="0.3">
      <c r="A20" s="103"/>
      <c r="B20" s="14">
        <v>17</v>
      </c>
      <c r="C20" s="6" t="s">
        <v>22</v>
      </c>
      <c r="D20" s="7">
        <v>6.5650000000000004</v>
      </c>
      <c r="E20" s="7">
        <v>20.51</v>
      </c>
      <c r="F20" s="7">
        <v>78.778000000000006</v>
      </c>
      <c r="G20" s="7">
        <v>80.278999999999996</v>
      </c>
      <c r="H20" s="7">
        <v>93.921000000000006</v>
      </c>
      <c r="I20" s="7">
        <v>119.265</v>
      </c>
      <c r="J20" s="7">
        <v>145.126</v>
      </c>
      <c r="K20" s="7">
        <v>175.459</v>
      </c>
      <c r="L20" s="7">
        <v>198.37700000000001</v>
      </c>
      <c r="M20" s="7">
        <v>150.751</v>
      </c>
      <c r="N20" s="7">
        <v>146.02500000000001</v>
      </c>
      <c r="O20" s="7">
        <v>143.22</v>
      </c>
      <c r="P20" s="7">
        <v>152.00200000000001</v>
      </c>
      <c r="Q20" s="7">
        <v>165.36</v>
      </c>
      <c r="R20" s="7">
        <v>154.49799999999999</v>
      </c>
      <c r="S20" s="7">
        <v>146.80799999999999</v>
      </c>
      <c r="T20" s="7">
        <v>151.46299999999999</v>
      </c>
      <c r="U20" s="7">
        <v>153.72200000000001</v>
      </c>
      <c r="V20" s="7">
        <v>132.518</v>
      </c>
      <c r="W20" s="7">
        <v>122.5</v>
      </c>
      <c r="X20" s="7">
        <v>142.30000000000001</v>
      </c>
      <c r="Y20" s="7">
        <v>125.5</v>
      </c>
      <c r="Z20" s="7">
        <v>126.9</v>
      </c>
      <c r="AA20" s="1"/>
      <c r="AB20" s="1"/>
    </row>
    <row r="21" spans="1:28" x14ac:dyDescent="0.3">
      <c r="A21" s="103"/>
      <c r="B21" s="14">
        <v>19</v>
      </c>
      <c r="C21" s="1" t="s">
        <v>88</v>
      </c>
      <c r="D21" s="3">
        <v>1.7470000000000001</v>
      </c>
      <c r="E21" s="3">
        <v>3.0129999999999999</v>
      </c>
      <c r="F21" s="3">
        <v>5.069</v>
      </c>
      <c r="G21" s="3">
        <v>6.6379999999999999</v>
      </c>
      <c r="H21" s="3">
        <v>8.5</v>
      </c>
      <c r="I21" s="3">
        <v>15.627000000000001</v>
      </c>
      <c r="J21" s="3">
        <v>12.965999999999999</v>
      </c>
      <c r="K21" s="3">
        <v>23.611000000000001</v>
      </c>
      <c r="L21" s="3">
        <v>20.864000000000001</v>
      </c>
      <c r="M21" s="3">
        <v>13.154</v>
      </c>
      <c r="N21" s="3">
        <v>8.593</v>
      </c>
      <c r="O21" s="3">
        <v>10.403</v>
      </c>
      <c r="P21" s="3">
        <v>6.9089999999999998</v>
      </c>
      <c r="Q21" s="3">
        <v>4.4740000000000002</v>
      </c>
      <c r="R21" s="3">
        <v>8.9250000000000007</v>
      </c>
      <c r="S21" s="3">
        <v>4.9429999999999996</v>
      </c>
      <c r="T21" s="3">
        <v>2.8239999999999998</v>
      </c>
      <c r="U21" s="3">
        <v>0.48599999999999999</v>
      </c>
      <c r="V21" s="3">
        <v>4.5999999999999999E-2</v>
      </c>
      <c r="W21" s="3">
        <v>4.5999999999999999E-2</v>
      </c>
      <c r="X21" s="3">
        <v>4.5999999999999999E-2</v>
      </c>
      <c r="Y21" s="3">
        <v>4.5999999999999999E-2</v>
      </c>
      <c r="Z21" s="3">
        <v>0</v>
      </c>
      <c r="AA21" s="1"/>
      <c r="AB21" s="1"/>
    </row>
    <row r="22" spans="1:28" x14ac:dyDescent="0.3">
      <c r="A22" s="103"/>
      <c r="B22" s="14">
        <v>20</v>
      </c>
      <c r="C22" s="6" t="s">
        <v>87</v>
      </c>
      <c r="D22" s="7">
        <v>10</v>
      </c>
      <c r="E22" s="7">
        <v>32</v>
      </c>
      <c r="F22" s="7">
        <v>44.212000000000003</v>
      </c>
      <c r="G22" s="7">
        <v>41.515999999999998</v>
      </c>
      <c r="H22" s="7">
        <v>44.875999999999998</v>
      </c>
      <c r="I22" s="7">
        <v>50.576999999999998</v>
      </c>
      <c r="J22" s="7">
        <v>78.915999999999997</v>
      </c>
      <c r="K22" s="7">
        <v>92.158000000000001</v>
      </c>
      <c r="L22" s="7">
        <v>120.155</v>
      </c>
      <c r="M22" s="7">
        <v>96.575999999999993</v>
      </c>
      <c r="N22" s="7">
        <v>94.06</v>
      </c>
      <c r="O22" s="7">
        <v>83.284999999999997</v>
      </c>
      <c r="P22" s="7">
        <v>92.83</v>
      </c>
      <c r="Q22" s="7">
        <v>92.489000000000004</v>
      </c>
      <c r="R22" s="7">
        <v>87.974999999999994</v>
      </c>
      <c r="S22" s="7">
        <v>91.644999999999996</v>
      </c>
      <c r="T22" s="7">
        <v>109.3</v>
      </c>
      <c r="U22" s="7">
        <v>64.099999999999994</v>
      </c>
      <c r="V22" s="7">
        <v>61.6</v>
      </c>
      <c r="W22" s="7">
        <v>45.7</v>
      </c>
      <c r="X22" s="7">
        <v>40.200000000000003</v>
      </c>
      <c r="Y22" s="37">
        <v>49</v>
      </c>
      <c r="Z22" s="7">
        <v>51.5</v>
      </c>
      <c r="AA22" s="1"/>
      <c r="AB22" s="1"/>
    </row>
    <row r="23" spans="1:28" x14ac:dyDescent="0.3">
      <c r="A23" s="103"/>
      <c r="B23" s="14">
        <v>16</v>
      </c>
      <c r="C23" s="1" t="s">
        <v>20</v>
      </c>
      <c r="D23" s="3">
        <v>16.649999999999999</v>
      </c>
      <c r="E23" s="3">
        <v>55.134999999999998</v>
      </c>
      <c r="F23" s="3">
        <v>63.381</v>
      </c>
      <c r="G23" s="3">
        <v>69.433999999999997</v>
      </c>
      <c r="H23" s="3">
        <v>72.7</v>
      </c>
      <c r="I23" s="3">
        <v>84.430999999999997</v>
      </c>
      <c r="J23" s="3">
        <v>90.635000000000005</v>
      </c>
      <c r="K23" s="3">
        <v>105.92400000000001</v>
      </c>
      <c r="L23" s="3">
        <v>114.502</v>
      </c>
      <c r="M23" s="3">
        <v>88.597999999999999</v>
      </c>
      <c r="N23" s="3">
        <v>99.141999999999996</v>
      </c>
      <c r="O23" s="3">
        <v>98.498000000000005</v>
      </c>
      <c r="P23" s="3">
        <v>102.43899999999999</v>
      </c>
      <c r="Q23" s="3">
        <v>110.89</v>
      </c>
      <c r="R23" s="3">
        <v>101.754</v>
      </c>
      <c r="S23" s="3">
        <v>99.268000000000001</v>
      </c>
      <c r="T23" s="3">
        <v>81.5</v>
      </c>
      <c r="U23" s="3">
        <v>84.9</v>
      </c>
      <c r="V23" s="3">
        <v>67.599999999999994</v>
      </c>
      <c r="W23" s="3">
        <v>66.8</v>
      </c>
      <c r="X23" s="3">
        <v>69.3</v>
      </c>
      <c r="Y23" s="3">
        <v>57</v>
      </c>
      <c r="Z23" s="3">
        <v>60.3</v>
      </c>
      <c r="AA23" s="1"/>
      <c r="AB23" s="1"/>
    </row>
    <row r="25" spans="1:28" x14ac:dyDescent="0.3">
      <c r="A25" s="9" t="s">
        <v>71</v>
      </c>
      <c r="B25" s="8"/>
      <c r="C25" s="9" t="s">
        <v>26</v>
      </c>
      <c r="D25" s="8">
        <v>99</v>
      </c>
      <c r="E25" s="8">
        <v>2000</v>
      </c>
      <c r="F25" s="8">
        <v>1</v>
      </c>
      <c r="G25" s="8">
        <v>2</v>
      </c>
      <c r="H25" s="8">
        <v>3</v>
      </c>
      <c r="I25" s="8">
        <v>4</v>
      </c>
      <c r="J25" s="8">
        <v>5</v>
      </c>
      <c r="K25" s="8">
        <v>6</v>
      </c>
      <c r="L25" s="8">
        <v>7</v>
      </c>
      <c r="M25" s="8">
        <v>8</v>
      </c>
      <c r="N25" s="8">
        <v>9</v>
      </c>
      <c r="O25" s="8">
        <v>10</v>
      </c>
      <c r="P25" s="8">
        <v>11</v>
      </c>
      <c r="Q25" s="8">
        <v>12</v>
      </c>
      <c r="R25" s="8">
        <v>13</v>
      </c>
      <c r="S25" s="8">
        <v>14</v>
      </c>
      <c r="T25" s="8">
        <v>15</v>
      </c>
      <c r="U25" s="8">
        <v>16</v>
      </c>
      <c r="V25" s="8">
        <v>17</v>
      </c>
      <c r="W25" s="8">
        <v>18</v>
      </c>
      <c r="X25" s="8">
        <v>19</v>
      </c>
      <c r="Y25" s="8">
        <v>20</v>
      </c>
      <c r="Z25" s="8" t="s">
        <v>3</v>
      </c>
      <c r="AA25" s="8" t="s">
        <v>94</v>
      </c>
      <c r="AB25" s="8" t="s">
        <v>116</v>
      </c>
    </row>
    <row r="26" spans="1:28" x14ac:dyDescent="0.3">
      <c r="A26" s="6" t="s">
        <v>65</v>
      </c>
      <c r="B26" s="17" t="s">
        <v>27</v>
      </c>
      <c r="C26" s="6" t="s">
        <v>46</v>
      </c>
      <c r="D26" s="7">
        <f t="shared" ref="D26:Y26" si="11">D4*D5</f>
        <v>88.969462300000004</v>
      </c>
      <c r="E26" s="7">
        <f>F4*E5</f>
        <v>158.27300645</v>
      </c>
      <c r="F26" s="7">
        <f>G4*F5</f>
        <v>154.84288000000001</v>
      </c>
      <c r="G26" s="7">
        <f>H4*G5</f>
        <v>157.6777428</v>
      </c>
      <c r="H26" s="7">
        <f>I4*H5</f>
        <v>167.55807999999999</v>
      </c>
      <c r="I26" s="7">
        <f t="shared" ref="I26:M26" si="12">J4*I5</f>
        <v>169.53</v>
      </c>
      <c r="J26" s="7">
        <f t="shared" si="12"/>
        <v>148.97999999999999</v>
      </c>
      <c r="K26" s="7">
        <f t="shared" si="12"/>
        <v>93.963809999999995</v>
      </c>
      <c r="L26" s="7">
        <f t="shared" si="12"/>
        <v>132.08703199999999</v>
      </c>
      <c r="M26" s="7">
        <f t="shared" si="12"/>
        <v>128.1</v>
      </c>
      <c r="N26" s="7">
        <f t="shared" si="11"/>
        <v>126</v>
      </c>
      <c r="O26" s="7">
        <f t="shared" si="11"/>
        <v>88.348500000000001</v>
      </c>
      <c r="P26" s="7">
        <f t="shared" si="11"/>
        <v>61.560949999999991</v>
      </c>
      <c r="Q26" s="7">
        <f t="shared" si="11"/>
        <v>69.936099999999996</v>
      </c>
      <c r="R26" s="7">
        <f t="shared" si="11"/>
        <v>81.672120000000007</v>
      </c>
      <c r="S26" s="7">
        <f t="shared" si="11"/>
        <v>68.899680000000004</v>
      </c>
      <c r="T26" s="7">
        <f t="shared" si="11"/>
        <v>62.184374999999996</v>
      </c>
      <c r="U26" s="7">
        <f t="shared" si="11"/>
        <v>73.200243600000007</v>
      </c>
      <c r="V26" s="7">
        <f t="shared" si="11"/>
        <v>92.339675100000008</v>
      </c>
      <c r="W26" s="7">
        <f t="shared" si="11"/>
        <v>59.629632925999999</v>
      </c>
      <c r="X26" s="7">
        <f t="shared" si="11"/>
        <v>81.012</v>
      </c>
      <c r="Y26" s="7">
        <f t="shared" si="11"/>
        <v>100.794</v>
      </c>
      <c r="Z26" s="7">
        <f t="shared" ref="Z26:AB26" si="13">Z4*Z5</f>
        <v>158.25919999999999</v>
      </c>
      <c r="AA26" s="7">
        <f t="shared" si="13"/>
        <v>153.93180000000001</v>
      </c>
      <c r="AB26" s="7">
        <f t="shared" si="13"/>
        <v>153.93180000000001</v>
      </c>
    </row>
    <row r="27" spans="1:28" x14ac:dyDescent="0.3">
      <c r="A27" s="1" t="s">
        <v>66</v>
      </c>
      <c r="B27" s="2" t="s">
        <v>28</v>
      </c>
      <c r="C27" s="1" t="s">
        <v>47</v>
      </c>
      <c r="D27" s="30">
        <f t="shared" ref="D27:Y27" si="14">D26/D6</f>
        <v>3.455930014760721</v>
      </c>
      <c r="E27" s="30">
        <f t="shared" si="14"/>
        <v>2.9949288786496866</v>
      </c>
      <c r="F27" s="30">
        <f t="shared" si="14"/>
        <v>1.6051549768830471</v>
      </c>
      <c r="G27" s="30">
        <f t="shared" si="14"/>
        <v>1.3823741511270087</v>
      </c>
      <c r="H27" s="30">
        <f t="shared" si="14"/>
        <v>1.3070053042121685</v>
      </c>
      <c r="I27" s="30">
        <f t="shared" si="14"/>
        <v>0.98793706293706296</v>
      </c>
      <c r="J27" s="30">
        <f t="shared" si="14"/>
        <v>0.65803886925795052</v>
      </c>
      <c r="K27" s="30">
        <f t="shared" si="14"/>
        <v>0.35932623326959845</v>
      </c>
      <c r="L27" s="30">
        <f t="shared" si="14"/>
        <v>0.42173381864623244</v>
      </c>
      <c r="M27" s="30">
        <f t="shared" si="14"/>
        <v>0.43869863013698629</v>
      </c>
      <c r="N27" s="30">
        <f t="shared" si="14"/>
        <v>0.52195526097763045</v>
      </c>
      <c r="O27" s="30">
        <f t="shared" si="14"/>
        <v>0.37388277613203552</v>
      </c>
      <c r="P27" s="30">
        <f t="shared" si="14"/>
        <v>0.26808407328215017</v>
      </c>
      <c r="Q27" s="30">
        <f t="shared" si="14"/>
        <v>0.32977060002357655</v>
      </c>
      <c r="R27" s="30">
        <f t="shared" si="14"/>
        <v>0.37666429922058758</v>
      </c>
      <c r="S27" s="30">
        <f t="shared" si="14"/>
        <v>0.31196794276787942</v>
      </c>
      <c r="T27" s="30">
        <f t="shared" si="14"/>
        <v>0.48895928509085756</v>
      </c>
      <c r="U27" s="30">
        <f t="shared" si="14"/>
        <v>0.53960991640497158</v>
      </c>
      <c r="V27" s="30">
        <f t="shared" si="14"/>
        <v>0.64950182949989466</v>
      </c>
      <c r="W27" s="30">
        <f t="shared" si="14"/>
        <v>0.4244404080432771</v>
      </c>
      <c r="X27" s="30">
        <f t="shared" si="14"/>
        <v>0.54359524927866876</v>
      </c>
      <c r="Y27" s="30">
        <f t="shared" si="14"/>
        <v>0.8057074340527578</v>
      </c>
      <c r="Z27" s="30">
        <f t="shared" ref="Z27:AB27" si="15">Z26/Z6</f>
        <v>1.1551766423357663</v>
      </c>
      <c r="AA27" s="30">
        <f t="shared" si="15"/>
        <v>1.0365777777777778</v>
      </c>
      <c r="AB27" s="30">
        <f t="shared" si="15"/>
        <v>0.95313808049535609</v>
      </c>
    </row>
    <row r="28" spans="1:28" x14ac:dyDescent="0.3">
      <c r="A28" s="6" t="s">
        <v>67</v>
      </c>
      <c r="B28" s="17" t="s">
        <v>29</v>
      </c>
      <c r="C28" s="6" t="s">
        <v>48</v>
      </c>
      <c r="D28" s="29">
        <f t="shared" ref="D28:Y28" si="16">D26/D7</f>
        <v>11.246297851093415</v>
      </c>
      <c r="E28" s="29">
        <f t="shared" si="16"/>
        <v>19.372461009791923</v>
      </c>
      <c r="F28" s="29">
        <f t="shared" si="16"/>
        <v>9.2998726726726737</v>
      </c>
      <c r="G28" s="29">
        <f t="shared" si="16"/>
        <v>8.367530396943323</v>
      </c>
      <c r="H28" s="29">
        <f t="shared" si="16"/>
        <v>19.947390476190474</v>
      </c>
      <c r="I28" s="29">
        <f t="shared" si="16"/>
        <v>9.9140350877192969</v>
      </c>
      <c r="J28" s="29">
        <f t="shared" si="16"/>
        <v>8.6115606936416178</v>
      </c>
      <c r="K28" s="29">
        <f t="shared" si="16"/>
        <v>5.7295006097560979</v>
      </c>
      <c r="L28" s="29">
        <f t="shared" si="16"/>
        <v>6.6043515999999993</v>
      </c>
      <c r="M28" s="29">
        <f t="shared" si="16"/>
        <v>6.0710900473933647</v>
      </c>
      <c r="N28" s="29">
        <f t="shared" si="16"/>
        <v>5.806451612903226</v>
      </c>
      <c r="O28" s="29">
        <f t="shared" si="16"/>
        <v>3.9796621621621622</v>
      </c>
      <c r="P28" s="29">
        <f t="shared" si="16"/>
        <v>5.7281985670419644</v>
      </c>
      <c r="Q28" s="29">
        <f t="shared" si="16"/>
        <v>3.8724307862679956</v>
      </c>
      <c r="R28" s="29">
        <f t="shared" si="16"/>
        <v>5.4961049798115758</v>
      </c>
      <c r="S28" s="29">
        <f t="shared" si="16"/>
        <v>5.2447042703813658</v>
      </c>
      <c r="T28" s="29">
        <f t="shared" si="16"/>
        <v>5.1828950658443071</v>
      </c>
      <c r="U28" s="29">
        <f t="shared" si="16"/>
        <v>12.396315596951737</v>
      </c>
      <c r="V28" s="29">
        <f t="shared" si="16"/>
        <v>8.4560142032967036</v>
      </c>
      <c r="W28" s="29">
        <f t="shared" si="16"/>
        <v>5.789284750097087</v>
      </c>
      <c r="X28" s="29">
        <f t="shared" si="16"/>
        <v>8.6560529971150757</v>
      </c>
      <c r="Y28" s="29">
        <f t="shared" si="16"/>
        <v>8.5202028740490281</v>
      </c>
      <c r="Z28" s="29">
        <f t="shared" ref="Z28:AB28" si="17">Z26/Z7</f>
        <v>12.173784615384616</v>
      </c>
      <c r="AA28" s="29">
        <f t="shared" si="17"/>
        <v>10.262120000000001</v>
      </c>
      <c r="AB28" s="29">
        <f t="shared" si="17"/>
        <v>9.3292000000000002</v>
      </c>
    </row>
    <row r="29" spans="1:28" x14ac:dyDescent="0.3">
      <c r="A29" s="15" t="s">
        <v>68</v>
      </c>
      <c r="B29" s="2" t="s">
        <v>30</v>
      </c>
      <c r="C29" s="1" t="s">
        <v>49</v>
      </c>
      <c r="D29" s="3">
        <f t="shared" ref="D29:Z29" si="18">D15-D14</f>
        <v>-0.34399999999999942</v>
      </c>
      <c r="E29" s="3">
        <f t="shared" si="18"/>
        <v>-22.426000000000002</v>
      </c>
      <c r="F29" s="3">
        <f t="shared" si="18"/>
        <v>-21.343999999999998</v>
      </c>
      <c r="G29" s="3">
        <f t="shared" si="18"/>
        <v>-15.307000000000002</v>
      </c>
      <c r="H29" s="3">
        <f t="shared" si="18"/>
        <v>-17.339999999999996</v>
      </c>
      <c r="I29" s="3">
        <f t="shared" si="18"/>
        <v>-19.175999999999998</v>
      </c>
      <c r="J29" s="3">
        <f t="shared" si="18"/>
        <v>-12.936999999999998</v>
      </c>
      <c r="K29" s="3">
        <f t="shared" si="18"/>
        <v>-5.2989999999999995</v>
      </c>
      <c r="L29" s="3">
        <f t="shared" si="18"/>
        <v>-19.881</v>
      </c>
      <c r="M29" s="3">
        <f t="shared" si="18"/>
        <v>-12.755000000000001</v>
      </c>
      <c r="N29" s="3">
        <f t="shared" si="18"/>
        <v>-16.502000000000002</v>
      </c>
      <c r="O29" s="3">
        <f t="shared" si="18"/>
        <v>-14.876000000000001</v>
      </c>
      <c r="P29" s="3">
        <f t="shared" si="18"/>
        <v>-9.8500000000000014</v>
      </c>
      <c r="Q29" s="3">
        <f t="shared" si="18"/>
        <v>-23.918999999999997</v>
      </c>
      <c r="R29" s="3">
        <f t="shared" si="18"/>
        <v>-11.558</v>
      </c>
      <c r="S29" s="3">
        <f t="shared" si="18"/>
        <v>-4.3069999999999986</v>
      </c>
      <c r="T29" s="3">
        <f t="shared" si="18"/>
        <v>9.9999999999997868E-2</v>
      </c>
      <c r="U29" s="3">
        <f t="shared" si="18"/>
        <v>-14.3</v>
      </c>
      <c r="V29" s="3">
        <f t="shared" si="18"/>
        <v>-39.799999999999997</v>
      </c>
      <c r="W29" s="3">
        <f t="shared" si="18"/>
        <v>-45.099999999999994</v>
      </c>
      <c r="X29" s="3">
        <f t="shared" si="18"/>
        <v>-21.1</v>
      </c>
      <c r="Y29" s="3">
        <f t="shared" si="18"/>
        <v>-41.000000000000007</v>
      </c>
      <c r="Z29" s="3">
        <f t="shared" si="18"/>
        <v>-42.6</v>
      </c>
      <c r="AA29" s="1"/>
      <c r="AB29" s="1"/>
    </row>
    <row r="30" spans="1:28" x14ac:dyDescent="0.3">
      <c r="A30" s="6" t="s">
        <v>69</v>
      </c>
      <c r="B30" s="17" t="s">
        <v>31</v>
      </c>
      <c r="C30" s="6" t="s">
        <v>50</v>
      </c>
      <c r="D30" s="7">
        <f t="shared" ref="D30:Z30" si="19">D26+D29+D16+D17</f>
        <v>102.52546230000002</v>
      </c>
      <c r="E30" s="7">
        <f t="shared" si="19"/>
        <v>139.72100644999998</v>
      </c>
      <c r="F30" s="7">
        <f t="shared" si="19"/>
        <v>137.17588000000001</v>
      </c>
      <c r="G30" s="7">
        <f t="shared" si="19"/>
        <v>147.37774280000002</v>
      </c>
      <c r="H30" s="7">
        <f t="shared" si="19"/>
        <v>156.30507999999998</v>
      </c>
      <c r="I30" s="7">
        <f t="shared" si="19"/>
        <v>162.602</v>
      </c>
      <c r="J30" s="7">
        <f t="shared" si="19"/>
        <v>148.06100000000001</v>
      </c>
      <c r="K30" s="7">
        <f t="shared" si="19"/>
        <v>99.875809999999987</v>
      </c>
      <c r="L30" s="7">
        <f t="shared" si="19"/>
        <v>125.847032</v>
      </c>
      <c r="M30" s="7">
        <f t="shared" si="19"/>
        <v>120.51</v>
      </c>
      <c r="N30" s="7">
        <f t="shared" si="19"/>
        <v>115.142</v>
      </c>
      <c r="O30" s="7">
        <f t="shared" si="19"/>
        <v>79.1965</v>
      </c>
      <c r="P30" s="7">
        <f t="shared" si="19"/>
        <v>61.52194999999999</v>
      </c>
      <c r="Q30" s="7">
        <f t="shared" si="19"/>
        <v>56.630099999999999</v>
      </c>
      <c r="R30" s="7">
        <f t="shared" si="19"/>
        <v>81.63612000000002</v>
      </c>
      <c r="S30" s="7">
        <f t="shared" si="19"/>
        <v>77.023679999999999</v>
      </c>
      <c r="T30" s="7">
        <f t="shared" si="19"/>
        <v>70.478375</v>
      </c>
      <c r="U30" s="7">
        <f t="shared" si="19"/>
        <v>67.051243600000006</v>
      </c>
      <c r="V30" s="7">
        <f t="shared" si="19"/>
        <v>66.136675100000005</v>
      </c>
      <c r="W30" s="7">
        <f t="shared" si="19"/>
        <v>28.329632926000006</v>
      </c>
      <c r="X30" s="7">
        <f t="shared" si="19"/>
        <v>78.212000000000003</v>
      </c>
      <c r="Y30" s="7">
        <f t="shared" si="19"/>
        <v>69.793999999999983</v>
      </c>
      <c r="Z30" s="7">
        <f t="shared" si="19"/>
        <v>124.75919999999999</v>
      </c>
      <c r="AA30" s="1"/>
      <c r="AB30" s="1"/>
    </row>
    <row r="31" spans="1:28" x14ac:dyDescent="0.3">
      <c r="A31" s="1" t="s">
        <v>70</v>
      </c>
      <c r="B31" s="2" t="s">
        <v>32</v>
      </c>
      <c r="C31" s="1" t="s">
        <v>51</v>
      </c>
      <c r="D31" s="30">
        <f t="shared" ref="D31:Z31" si="20">D30/D7</f>
        <v>12.959861243837697</v>
      </c>
      <c r="E31" s="30">
        <f t="shared" si="20"/>
        <v>17.101714375764992</v>
      </c>
      <c r="F31" s="30">
        <f t="shared" si="20"/>
        <v>8.2387915915915926</v>
      </c>
      <c r="G31" s="30">
        <f t="shared" si="20"/>
        <v>7.8209373169178527</v>
      </c>
      <c r="H31" s="30">
        <f t="shared" si="20"/>
        <v>18.607747619047615</v>
      </c>
      <c r="I31" s="30">
        <f t="shared" si="20"/>
        <v>9.5088888888888885</v>
      </c>
      <c r="J31" s="30">
        <f t="shared" si="20"/>
        <v>8.5584393063583821</v>
      </c>
      <c r="K31" s="30">
        <f t="shared" si="20"/>
        <v>6.0899884146341456</v>
      </c>
      <c r="L31" s="30">
        <f t="shared" si="20"/>
        <v>6.2923515999999999</v>
      </c>
      <c r="M31" s="30">
        <f t="shared" si="20"/>
        <v>5.7113744075829382</v>
      </c>
      <c r="N31" s="30">
        <f t="shared" si="20"/>
        <v>5.306082949308756</v>
      </c>
      <c r="O31" s="30">
        <f t="shared" si="20"/>
        <v>3.5674099099099101</v>
      </c>
      <c r="P31" s="30">
        <f t="shared" si="20"/>
        <v>5.7245696473434435</v>
      </c>
      <c r="Q31" s="30">
        <f t="shared" si="20"/>
        <v>3.1356644518272425</v>
      </c>
      <c r="R31" s="30">
        <f t="shared" si="20"/>
        <v>5.4936823687752367</v>
      </c>
      <c r="S31" s="30">
        <f t="shared" si="20"/>
        <v>5.8631102991550579</v>
      </c>
      <c r="T31" s="30">
        <f t="shared" si="20"/>
        <v>5.8741769461576929</v>
      </c>
      <c r="U31" s="30">
        <f t="shared" si="20"/>
        <v>11.354994682472482</v>
      </c>
      <c r="V31" s="30">
        <f t="shared" si="20"/>
        <v>6.0564720787545792</v>
      </c>
      <c r="W31" s="30">
        <f t="shared" si="20"/>
        <v>2.7504497986407772</v>
      </c>
      <c r="X31" s="30">
        <f t="shared" si="20"/>
        <v>8.3568757345870281</v>
      </c>
      <c r="Y31" s="30">
        <f t="shared" si="20"/>
        <v>5.8997464074387134</v>
      </c>
      <c r="Z31" s="30">
        <f t="shared" si="20"/>
        <v>9.5968615384615372</v>
      </c>
      <c r="AA31" s="1"/>
      <c r="AB31" s="1"/>
    </row>
    <row r="32" spans="1:28" x14ac:dyDescent="0.3">
      <c r="A32" s="18" t="s">
        <v>72</v>
      </c>
      <c r="B32" s="17" t="s">
        <v>33</v>
      </c>
      <c r="C32" s="6" t="s">
        <v>109</v>
      </c>
      <c r="D32" s="27">
        <f t="shared" ref="D32:Z32" si="21">D7/D6</f>
        <v>0.30729490366687384</v>
      </c>
      <c r="E32" s="27">
        <f t="shared" si="21"/>
        <v>0.15459723352318958</v>
      </c>
      <c r="F32" s="27">
        <f t="shared" si="21"/>
        <v>0.17259967242344454</v>
      </c>
      <c r="G32" s="27">
        <f t="shared" si="21"/>
        <v>0.1652069470380404</v>
      </c>
      <c r="H32" s="27">
        <f t="shared" si="21"/>
        <v>6.5522620904836196E-2</v>
      </c>
      <c r="I32" s="27">
        <f t="shared" si="21"/>
        <v>9.9650349650349662E-2</v>
      </c>
      <c r="J32" s="27">
        <f t="shared" si="21"/>
        <v>7.6413427561837458E-2</v>
      </c>
      <c r="K32" s="27">
        <f t="shared" si="21"/>
        <v>6.271510516252389E-2</v>
      </c>
      <c r="L32" s="27">
        <f t="shared" si="21"/>
        <v>6.3856960408684549E-2</v>
      </c>
      <c r="M32" s="27">
        <f t="shared" si="21"/>
        <v>7.2260273972602748E-2</v>
      </c>
      <c r="N32" s="27">
        <f t="shared" si="21"/>
        <v>8.9892294946147464E-2</v>
      </c>
      <c r="O32" s="27">
        <f t="shared" si="21"/>
        <v>9.3948370715192547E-2</v>
      </c>
      <c r="P32" s="27">
        <f t="shared" si="21"/>
        <v>4.6800764698453616E-2</v>
      </c>
      <c r="Q32" s="27">
        <f t="shared" si="21"/>
        <v>8.5158552398915482E-2</v>
      </c>
      <c r="R32" s="27">
        <f t="shared" si="21"/>
        <v>6.853295208227643E-2</v>
      </c>
      <c r="S32" s="27">
        <f t="shared" si="21"/>
        <v>5.948246587127301E-2</v>
      </c>
      <c r="T32" s="27">
        <f t="shared" si="21"/>
        <v>9.4340957877603646E-2</v>
      </c>
      <c r="U32" s="27">
        <f t="shared" si="21"/>
        <v>4.3529862739027231E-2</v>
      </c>
      <c r="V32" s="27">
        <f t="shared" si="21"/>
        <v>7.6809453471196457E-2</v>
      </c>
      <c r="W32" s="27">
        <f t="shared" si="21"/>
        <v>7.3314826678055375E-2</v>
      </c>
      <c r="X32" s="27">
        <f t="shared" si="21"/>
        <v>6.2799436355096286E-2</v>
      </c>
      <c r="Y32" s="27">
        <f t="shared" si="21"/>
        <v>9.4564348521183061E-2</v>
      </c>
      <c r="Z32" s="27">
        <f t="shared" si="21"/>
        <v>9.4890510948905105E-2</v>
      </c>
      <c r="AA32" s="27">
        <f t="shared" ref="AA32:AB32" si="22">AA7/AA6</f>
        <v>0.10101010101010101</v>
      </c>
      <c r="AB32" s="27">
        <f t="shared" si="22"/>
        <v>0.1021671826625387</v>
      </c>
    </row>
    <row r="33" spans="1:28" x14ac:dyDescent="0.3">
      <c r="A33" s="16" t="s">
        <v>73</v>
      </c>
      <c r="B33" s="2" t="s">
        <v>34</v>
      </c>
      <c r="C33" s="1" t="s">
        <v>110</v>
      </c>
      <c r="D33" s="28">
        <f t="shared" ref="D33:Z33" si="23">D8/D6</f>
        <v>0.14321783716594158</v>
      </c>
      <c r="E33" s="28">
        <f t="shared" si="23"/>
        <v>0.11347853236702178</v>
      </c>
      <c r="F33" s="28">
        <f t="shared" si="23"/>
        <v>0.12093380051002427</v>
      </c>
      <c r="G33" s="28">
        <f t="shared" si="23"/>
        <v>0.10875568764630072</v>
      </c>
      <c r="H33" s="28">
        <f t="shared" si="23"/>
        <v>2.0000000000000004E-2</v>
      </c>
      <c r="I33" s="28">
        <f t="shared" si="23"/>
        <v>6.9090909090909092E-2</v>
      </c>
      <c r="J33" s="28">
        <f t="shared" si="23"/>
        <v>2.6806537102473497E-2</v>
      </c>
      <c r="K33" s="28">
        <f t="shared" si="23"/>
        <v>3.2906309751434035E-2</v>
      </c>
      <c r="L33" s="28">
        <f t="shared" si="23"/>
        <v>5.4102809706257984E-2</v>
      </c>
      <c r="M33" s="28">
        <f t="shared" si="23"/>
        <v>5.222260273972603E-2</v>
      </c>
      <c r="N33" s="28">
        <f t="shared" si="23"/>
        <v>6.885666942833471E-2</v>
      </c>
      <c r="O33" s="28">
        <f t="shared" si="23"/>
        <v>7.0630554380025398E-2</v>
      </c>
      <c r="P33" s="28">
        <f t="shared" si="23"/>
        <v>2.0127769092421383E-2</v>
      </c>
      <c r="Q33" s="28">
        <f t="shared" si="23"/>
        <v>5.8012495579394092E-2</v>
      </c>
      <c r="R33" s="28">
        <f t="shared" si="23"/>
        <v>4.2102107641931466E-2</v>
      </c>
      <c r="S33" s="28">
        <f t="shared" si="23"/>
        <v>3.2691132190803919E-2</v>
      </c>
      <c r="T33" s="28">
        <f t="shared" si="23"/>
        <v>6.2660701227423191E-2</v>
      </c>
      <c r="U33" s="28">
        <f t="shared" si="23"/>
        <v>1.5627994751352708E-2</v>
      </c>
      <c r="V33" s="28">
        <f t="shared" si="23"/>
        <v>5.4195681226700432E-2</v>
      </c>
      <c r="W33" s="28">
        <f t="shared" si="23"/>
        <v>5.2380952380952375E-2</v>
      </c>
      <c r="X33" s="28">
        <f t="shared" si="23"/>
        <v>3.1161511105146616E-2</v>
      </c>
      <c r="Y33" s="28">
        <f t="shared" si="23"/>
        <v>5.9752198241406873E-2</v>
      </c>
      <c r="Z33" s="28">
        <f t="shared" si="23"/>
        <v>6.569343065693431E-2</v>
      </c>
      <c r="AA33" s="28">
        <f t="shared" ref="AA33:AB33" si="24">AA8/AA6</f>
        <v>7.0707070707070704E-2</v>
      </c>
      <c r="AB33" s="28">
        <f t="shared" si="24"/>
        <v>7.7399380804953566E-2</v>
      </c>
    </row>
    <row r="34" spans="1:28" x14ac:dyDescent="0.3">
      <c r="A34" s="18" t="s">
        <v>74</v>
      </c>
      <c r="B34" s="17" t="s">
        <v>35</v>
      </c>
      <c r="C34" s="6" t="s">
        <v>54</v>
      </c>
      <c r="D34" s="27">
        <f t="shared" ref="D34:Z34" si="25">D11/D10</f>
        <v>0.43861111111111106</v>
      </c>
      <c r="E34" s="27">
        <f t="shared" si="25"/>
        <v>0.26855241264559065</v>
      </c>
      <c r="F34" s="27">
        <f t="shared" si="25"/>
        <v>0.20096969696969696</v>
      </c>
      <c r="G34" s="27">
        <f t="shared" si="25"/>
        <v>-1.1005353955978583E-2</v>
      </c>
      <c r="H34" s="27">
        <f t="shared" si="25"/>
        <v>7.0376432078559731E-2</v>
      </c>
      <c r="I34" s="27">
        <f t="shared" si="25"/>
        <v>0.10223761820054304</v>
      </c>
      <c r="J34" s="27">
        <f t="shared" si="25"/>
        <v>9.638554216867469E-2</v>
      </c>
      <c r="K34" s="27">
        <f t="shared" si="25"/>
        <v>1.4327700220426157E-2</v>
      </c>
      <c r="L34" s="27">
        <f t="shared" si="25"/>
        <v>7.3734638616954798E-2</v>
      </c>
      <c r="M34" s="27">
        <f t="shared" si="25"/>
        <v>0.1303800654417317</v>
      </c>
      <c r="N34" s="27">
        <f t="shared" si="25"/>
        <v>0.16796326999107256</v>
      </c>
      <c r="O34" s="27">
        <f t="shared" si="25"/>
        <v>0.16102941176470589</v>
      </c>
      <c r="P34" s="27">
        <f t="shared" si="25"/>
        <v>0.28324255046459468</v>
      </c>
      <c r="Q34" s="27">
        <f t="shared" si="25"/>
        <v>0.19576501606657326</v>
      </c>
      <c r="R34" s="27">
        <f t="shared" si="25"/>
        <v>8.1005260081823488E-2</v>
      </c>
      <c r="S34" s="27">
        <f t="shared" si="25"/>
        <v>-0.15710357470210815</v>
      </c>
      <c r="T34" s="27">
        <f t="shared" si="25"/>
        <v>0.22460999681630053</v>
      </c>
      <c r="U34" s="27">
        <f t="shared" si="25"/>
        <v>2.5680068434559451</v>
      </c>
      <c r="V34" s="27">
        <f t="shared" si="25"/>
        <v>0.17668115571465096</v>
      </c>
      <c r="W34" s="27">
        <f t="shared" si="25"/>
        <v>0.17991494929669613</v>
      </c>
      <c r="X34" s="27">
        <f t="shared" si="25"/>
        <v>1.9470490899062328E-2</v>
      </c>
      <c r="Y34" s="27">
        <f t="shared" si="25"/>
        <v>0.3337406179088846</v>
      </c>
      <c r="Z34" s="27">
        <f t="shared" si="25"/>
        <v>0.25714285714285717</v>
      </c>
      <c r="AA34" s="27">
        <f t="shared" ref="AA34:AB34" si="26">AA11/AA10</f>
        <v>0.21111111111111111</v>
      </c>
      <c r="AB34" s="27">
        <f t="shared" si="26"/>
        <v>0.21249999999999999</v>
      </c>
    </row>
    <row r="35" spans="1:28" x14ac:dyDescent="0.3">
      <c r="A35" s="16" t="s">
        <v>75</v>
      </c>
      <c r="B35" s="2" t="s">
        <v>36</v>
      </c>
      <c r="C35" s="1" t="s">
        <v>108</v>
      </c>
      <c r="D35" s="28">
        <f t="shared" ref="D35:Z35" si="27">D12/D6</f>
        <v>7.8632691112492228E-2</v>
      </c>
      <c r="E35" s="28">
        <f t="shared" si="27"/>
        <v>0.1247752947187163</v>
      </c>
      <c r="F35" s="28">
        <f t="shared" si="27"/>
        <v>0.10250243609147265</v>
      </c>
      <c r="G35" s="28">
        <f t="shared" si="27"/>
        <v>8.9397964282896286E-2</v>
      </c>
      <c r="H35" s="28">
        <f t="shared" si="27"/>
        <v>-7.8003120124805006E-4</v>
      </c>
      <c r="I35" s="28">
        <f t="shared" si="27"/>
        <v>2.505827505827506E-2</v>
      </c>
      <c r="J35" s="28">
        <f t="shared" si="27"/>
        <v>2.2831272084805652E-2</v>
      </c>
      <c r="K35" s="28">
        <f t="shared" si="27"/>
        <v>1.9441682600382409E-2</v>
      </c>
      <c r="L35" s="28">
        <f t="shared" si="27"/>
        <v>2.2340357598978289E-2</v>
      </c>
      <c r="M35" s="28">
        <f t="shared" si="27"/>
        <v>5.5068493150684933E-3</v>
      </c>
      <c r="N35" s="28">
        <f t="shared" si="27"/>
        <v>5.343827671913836E-2</v>
      </c>
      <c r="O35" s="28">
        <f t="shared" si="27"/>
        <v>5.5438002539145152E-2</v>
      </c>
      <c r="P35" s="28">
        <f t="shared" si="27"/>
        <v>1.2803037890895472E-2</v>
      </c>
      <c r="Q35" s="28">
        <f t="shared" si="27"/>
        <v>4.6026169987032885E-2</v>
      </c>
      <c r="R35" s="28">
        <f t="shared" si="27"/>
        <v>4.265092468754323E-2</v>
      </c>
      <c r="S35" s="28">
        <f t="shared" si="27"/>
        <v>2.1774467410744607E-2</v>
      </c>
      <c r="T35" s="28">
        <f t="shared" si="27"/>
        <v>5.8383198219803888E-2</v>
      </c>
      <c r="U35" s="28">
        <f t="shared" si="27"/>
        <v>7.0768278119333006E-2</v>
      </c>
      <c r="V35" s="28">
        <f t="shared" si="27"/>
        <v>3.3762397130196242E-2</v>
      </c>
      <c r="W35" s="28">
        <f t="shared" si="27"/>
        <v>3.3454338387073811E-2</v>
      </c>
      <c r="X35" s="28">
        <f t="shared" si="27"/>
        <v>0.13688519090116083</v>
      </c>
      <c r="Y35" s="28">
        <f t="shared" si="27"/>
        <v>5.9840127897681852E-2</v>
      </c>
      <c r="Z35" s="28">
        <f t="shared" si="27"/>
        <v>4.0145985401459854E-2</v>
      </c>
      <c r="AA35" s="28">
        <f t="shared" ref="AA35:AB35" si="28">AA12/AA6</f>
        <v>4.3771043771043773E-2</v>
      </c>
      <c r="AB35" s="28">
        <f t="shared" si="28"/>
        <v>4.9535603715170282E-2</v>
      </c>
    </row>
    <row r="36" spans="1:28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43.950295556038576</v>
      </c>
      <c r="E36" s="29">
        <f t="shared" ref="E36:Z36" si="29">IF(E26/E12&lt;0,0,E26/E12)</f>
        <v>24.00257907946618</v>
      </c>
      <c r="F36" s="29">
        <f t="shared" si="29"/>
        <v>15.659676375404532</v>
      </c>
      <c r="G36" s="29">
        <f t="shared" si="29"/>
        <v>15.463150220653135</v>
      </c>
      <c r="H36" s="29">
        <f t="shared" si="29"/>
        <v>0</v>
      </c>
      <c r="I36" s="29">
        <f t="shared" si="29"/>
        <v>39.425581395348836</v>
      </c>
      <c r="J36" s="29">
        <f t="shared" si="29"/>
        <v>28.821822402785838</v>
      </c>
      <c r="K36" s="29">
        <f t="shared" si="29"/>
        <v>18.482260031471284</v>
      </c>
      <c r="L36" s="29">
        <f t="shared" si="29"/>
        <v>18.877666428469343</v>
      </c>
      <c r="M36" s="29">
        <f t="shared" si="29"/>
        <v>79.664179104477597</v>
      </c>
      <c r="N36" s="29">
        <f t="shared" si="29"/>
        <v>9.7674418604651159</v>
      </c>
      <c r="O36" s="29">
        <f t="shared" si="29"/>
        <v>6.7441603053435113</v>
      </c>
      <c r="P36" s="29">
        <f t="shared" si="29"/>
        <v>20.939098639455779</v>
      </c>
      <c r="Q36" s="29">
        <f t="shared" si="29"/>
        <v>7.1648499129187586</v>
      </c>
      <c r="R36" s="29">
        <f t="shared" si="29"/>
        <v>8.8313278546712812</v>
      </c>
      <c r="S36" s="29">
        <f t="shared" si="29"/>
        <v>14.327236431690581</v>
      </c>
      <c r="T36" s="29">
        <f t="shared" si="29"/>
        <v>8.375</v>
      </c>
      <c r="U36" s="29">
        <f t="shared" si="29"/>
        <v>7.6250253750000008</v>
      </c>
      <c r="V36" s="29">
        <f t="shared" si="29"/>
        <v>19.237432312500001</v>
      </c>
      <c r="W36" s="29">
        <f t="shared" si="29"/>
        <v>12.687155941702127</v>
      </c>
      <c r="X36" s="29">
        <f t="shared" si="29"/>
        <v>3.9711764705882358</v>
      </c>
      <c r="Y36" s="29">
        <f t="shared" si="29"/>
        <v>13.464333422388458</v>
      </c>
      <c r="Z36" s="29">
        <f t="shared" si="29"/>
        <v>28.7744</v>
      </c>
      <c r="AA36" s="29">
        <f t="shared" ref="AA36:AB36" si="30">IF(AA26/AA12&lt;0,0,AA26/AA12)</f>
        <v>23.681815384615387</v>
      </c>
      <c r="AB36" s="29">
        <f t="shared" si="30"/>
        <v>19.241475000000001</v>
      </c>
    </row>
    <row r="37" spans="1:28" x14ac:dyDescent="0.3">
      <c r="A37" s="16" t="s">
        <v>77</v>
      </c>
      <c r="B37" s="2" t="s">
        <v>38</v>
      </c>
      <c r="C37" s="1" t="s">
        <v>57</v>
      </c>
      <c r="D37" s="30">
        <f t="shared" ref="D37:Y37" si="31">D26/D23</f>
        <v>5.34351124924925</v>
      </c>
      <c r="E37" s="30">
        <f t="shared" si="31"/>
        <v>2.8706448979776913</v>
      </c>
      <c r="F37" s="30">
        <f t="shared" si="31"/>
        <v>2.4430488632239946</v>
      </c>
      <c r="G37" s="30">
        <f t="shared" si="31"/>
        <v>2.2709010398363914</v>
      </c>
      <c r="H37" s="30">
        <f t="shared" si="31"/>
        <v>2.3047878954607977</v>
      </c>
      <c r="I37" s="30">
        <f t="shared" si="31"/>
        <v>2.0079117859553954</v>
      </c>
      <c r="J37" s="30">
        <f t="shared" si="31"/>
        <v>1.6437358636288408</v>
      </c>
      <c r="K37" s="30">
        <f t="shared" si="31"/>
        <v>0.88708706242211388</v>
      </c>
      <c r="L37" s="30">
        <f t="shared" si="31"/>
        <v>1.1535783829103421</v>
      </c>
      <c r="M37" s="30">
        <f t="shared" si="31"/>
        <v>1.4458565656109619</v>
      </c>
      <c r="N37" s="30">
        <f t="shared" si="31"/>
        <v>1.2709043594036837</v>
      </c>
      <c r="O37" s="30">
        <f t="shared" si="31"/>
        <v>0.89695729862535278</v>
      </c>
      <c r="P37" s="30">
        <f t="shared" si="31"/>
        <v>0.60095227403625573</v>
      </c>
      <c r="Q37" s="30">
        <f t="shared" si="31"/>
        <v>0.63067995310668223</v>
      </c>
      <c r="R37" s="30">
        <f t="shared" si="31"/>
        <v>0.80264284450734125</v>
      </c>
      <c r="S37" s="30">
        <f t="shared" si="31"/>
        <v>0.69407744691139139</v>
      </c>
      <c r="T37" s="30">
        <f t="shared" si="31"/>
        <v>0.76299846625766865</v>
      </c>
      <c r="U37" s="30">
        <f t="shared" si="31"/>
        <v>0.86219368197879864</v>
      </c>
      <c r="V37" s="30">
        <f t="shared" si="31"/>
        <v>1.3659715251479292</v>
      </c>
      <c r="W37" s="30">
        <f t="shared" si="31"/>
        <v>0.89265917553892216</v>
      </c>
      <c r="X37" s="30">
        <f t="shared" si="31"/>
        <v>1.169004329004329</v>
      </c>
      <c r="Y37" s="30">
        <f t="shared" si="31"/>
        <v>1.7683157894736841</v>
      </c>
      <c r="Z37" s="30">
        <f t="shared" ref="Z37" si="32">Z26/Z23</f>
        <v>2.624530679933665</v>
      </c>
      <c r="AA37" s="1"/>
      <c r="AB37" s="1"/>
    </row>
    <row r="38" spans="1:28" x14ac:dyDescent="0.3">
      <c r="A38" s="18" t="s">
        <v>78</v>
      </c>
      <c r="B38" s="17" t="s">
        <v>39</v>
      </c>
      <c r="C38" s="6" t="s">
        <v>106</v>
      </c>
      <c r="D38" s="55">
        <f t="shared" ref="D38:Y38" si="33">D8/D23</f>
        <v>0.22144144144144146</v>
      </c>
      <c r="E38" s="55">
        <f t="shared" si="33"/>
        <v>0.10876938423868686</v>
      </c>
      <c r="F38" s="55">
        <f t="shared" si="33"/>
        <v>0.18406146952556759</v>
      </c>
      <c r="G38" s="55">
        <f t="shared" si="33"/>
        <v>0.17865887029409222</v>
      </c>
      <c r="H38" s="55">
        <f t="shared" si="33"/>
        <v>3.5268225584594221E-2</v>
      </c>
      <c r="I38" s="55">
        <f t="shared" si="33"/>
        <v>0.14042235671731948</v>
      </c>
      <c r="J38" s="55">
        <f t="shared" si="33"/>
        <v>6.6960887074529699E-2</v>
      </c>
      <c r="K38" s="55">
        <f t="shared" si="33"/>
        <v>8.1237491031305467E-2</v>
      </c>
      <c r="L38" s="55">
        <f t="shared" si="33"/>
        <v>0.14798868142041188</v>
      </c>
      <c r="M38" s="55">
        <f t="shared" si="33"/>
        <v>0.17211449468385293</v>
      </c>
      <c r="N38" s="55">
        <f t="shared" si="33"/>
        <v>0.16765851001593673</v>
      </c>
      <c r="O38" s="55">
        <f t="shared" si="33"/>
        <v>0.16944506487441369</v>
      </c>
      <c r="P38" s="55">
        <f t="shared" si="33"/>
        <v>4.5119534552270135E-2</v>
      </c>
      <c r="Q38" s="55">
        <f t="shared" si="33"/>
        <v>0.11094778609432772</v>
      </c>
      <c r="R38" s="55">
        <f t="shared" si="33"/>
        <v>8.9716374786249178E-2</v>
      </c>
      <c r="S38" s="55">
        <f t="shared" si="33"/>
        <v>7.2732401176612796E-2</v>
      </c>
      <c r="T38" s="55">
        <f t="shared" si="33"/>
        <v>9.7779141104294476E-2</v>
      </c>
      <c r="U38" s="55">
        <f t="shared" si="33"/>
        <v>2.4970553592461718E-2</v>
      </c>
      <c r="V38" s="55">
        <f t="shared" si="33"/>
        <v>0.11397928994082841</v>
      </c>
      <c r="W38" s="55">
        <f t="shared" si="33"/>
        <v>0.11016467065868264</v>
      </c>
      <c r="X38" s="55">
        <f t="shared" si="33"/>
        <v>6.7012987012987024E-2</v>
      </c>
      <c r="Y38" s="55">
        <f t="shared" si="33"/>
        <v>0.13114035087719297</v>
      </c>
      <c r="Z38" s="55">
        <f t="shared" ref="Z38" si="34">Z8/Z23</f>
        <v>0.1492537313432836</v>
      </c>
      <c r="AA38" s="1"/>
      <c r="AB38" s="1"/>
    </row>
    <row r="39" spans="1:28" x14ac:dyDescent="0.3">
      <c r="A39" s="16" t="s">
        <v>79</v>
      </c>
      <c r="B39" s="2" t="s">
        <v>40</v>
      </c>
      <c r="C39" s="1" t="s">
        <v>107</v>
      </c>
      <c r="D39" s="56">
        <f t="shared" ref="D39:Y39" si="35">D12/D23</f>
        <v>0.12158078078078079</v>
      </c>
      <c r="E39" s="56">
        <f t="shared" si="35"/>
        <v>0.11959735195429401</v>
      </c>
      <c r="F39" s="56">
        <f t="shared" si="35"/>
        <v>0.15600889856581626</v>
      </c>
      <c r="G39" s="56">
        <f t="shared" si="35"/>
        <v>0.14685888757669152</v>
      </c>
      <c r="H39" s="56">
        <f t="shared" si="35"/>
        <v>-1.375515818431912E-3</v>
      </c>
      <c r="I39" s="56">
        <f t="shared" si="35"/>
        <v>5.0929161090120925E-2</v>
      </c>
      <c r="J39" s="56">
        <f t="shared" si="35"/>
        <v>5.7030948309152084E-2</v>
      </c>
      <c r="K39" s="56">
        <f t="shared" si="35"/>
        <v>4.799667686265624E-2</v>
      </c>
      <c r="L39" s="56">
        <f t="shared" si="35"/>
        <v>6.1108102915232922E-2</v>
      </c>
      <c r="M39" s="56">
        <f t="shared" si="35"/>
        <v>1.8149393891509966E-2</v>
      </c>
      <c r="N39" s="56">
        <f t="shared" si="35"/>
        <v>0.13011639870085334</v>
      </c>
      <c r="O39" s="56">
        <f t="shared" si="35"/>
        <v>0.13299762431724502</v>
      </c>
      <c r="P39" s="56">
        <f t="shared" si="35"/>
        <v>2.870000683333496E-2</v>
      </c>
      <c r="Q39" s="56">
        <f t="shared" si="35"/>
        <v>8.8024168094508068E-2</v>
      </c>
      <c r="R39" s="56">
        <f t="shared" si="35"/>
        <v>9.0885861980855784E-2</v>
      </c>
      <c r="S39" s="56">
        <f t="shared" si="35"/>
        <v>4.8444614578716204E-2</v>
      </c>
      <c r="T39" s="56">
        <f t="shared" si="35"/>
        <v>9.1104294478527609E-2</v>
      </c>
      <c r="U39" s="56">
        <f t="shared" si="35"/>
        <v>0.11307420494699645</v>
      </c>
      <c r="V39" s="56">
        <f t="shared" si="35"/>
        <v>7.1005917159763315E-2</v>
      </c>
      <c r="W39" s="56">
        <f t="shared" si="35"/>
        <v>7.0359281437125748E-2</v>
      </c>
      <c r="X39" s="56">
        <f t="shared" si="35"/>
        <v>0.29437229437229434</v>
      </c>
      <c r="Y39" s="56">
        <f t="shared" si="35"/>
        <v>0.13133333333333333</v>
      </c>
      <c r="Z39" s="56">
        <f t="shared" ref="Z39" si="36">Z12/Z23</f>
        <v>9.1210613598673301E-2</v>
      </c>
      <c r="AA39" s="1"/>
      <c r="AB39" s="1"/>
    </row>
    <row r="40" spans="1:28" x14ac:dyDescent="0.3">
      <c r="A40" s="18" t="s">
        <v>80</v>
      </c>
      <c r="B40" s="17" t="s">
        <v>41</v>
      </c>
      <c r="C40" s="6" t="s">
        <v>61</v>
      </c>
      <c r="D40" s="7">
        <f t="shared" ref="D40:Y40" si="37">D20-D19</f>
        <v>-10.434999999999999</v>
      </c>
      <c r="E40" s="7">
        <f t="shared" si="37"/>
        <v>-1.8379999999999974</v>
      </c>
      <c r="F40" s="7">
        <f t="shared" si="37"/>
        <v>50.360000000000007</v>
      </c>
      <c r="G40" s="7">
        <f t="shared" si="37"/>
        <v>47.014999999999993</v>
      </c>
      <c r="H40" s="7">
        <f t="shared" si="37"/>
        <v>43.512000000000008</v>
      </c>
      <c r="I40" s="7">
        <f t="shared" si="37"/>
        <v>39.611999999999995</v>
      </c>
      <c r="J40" s="7">
        <f t="shared" si="37"/>
        <v>47.320999999999998</v>
      </c>
      <c r="K40" s="7">
        <f t="shared" si="37"/>
        <v>59.832999999999998</v>
      </c>
      <c r="L40" s="7">
        <f t="shared" si="37"/>
        <v>63.098000000000013</v>
      </c>
      <c r="M40" s="7">
        <f t="shared" si="37"/>
        <v>45.358000000000004</v>
      </c>
      <c r="N40" s="7">
        <f t="shared" si="37"/>
        <v>58.658000000000001</v>
      </c>
      <c r="O40" s="7">
        <f t="shared" si="37"/>
        <v>57.314999999999998</v>
      </c>
      <c r="P40" s="7">
        <f t="shared" si="37"/>
        <v>62.641000000000005</v>
      </c>
      <c r="Q40" s="7">
        <f t="shared" si="37"/>
        <v>71.507000000000019</v>
      </c>
      <c r="R40" s="7">
        <f t="shared" si="37"/>
        <v>60.459999999999994</v>
      </c>
      <c r="S40" s="7">
        <f t="shared" si="37"/>
        <v>49.318999999999988</v>
      </c>
      <c r="T40" s="7">
        <f t="shared" si="37"/>
        <v>49.863</v>
      </c>
      <c r="U40" s="7">
        <f t="shared" si="37"/>
        <v>71.595000000000013</v>
      </c>
      <c r="V40" s="7">
        <f t="shared" si="37"/>
        <v>58.311000000000007</v>
      </c>
      <c r="W40" s="7">
        <f t="shared" si="37"/>
        <v>53.5</v>
      </c>
      <c r="X40" s="7">
        <f t="shared" si="37"/>
        <v>77.400000000000006</v>
      </c>
      <c r="Y40" s="7">
        <f t="shared" si="37"/>
        <v>59.5</v>
      </c>
      <c r="Z40" s="7">
        <f t="shared" ref="Z40" si="38">Z20-Z19</f>
        <v>57.400000000000006</v>
      </c>
      <c r="AA40" s="1"/>
      <c r="AB40" s="1"/>
    </row>
    <row r="41" spans="1:28" x14ac:dyDescent="0.3">
      <c r="A41" s="53" t="s">
        <v>96</v>
      </c>
      <c r="B41" s="49" t="s">
        <v>42</v>
      </c>
      <c r="C41" s="52" t="s">
        <v>98</v>
      </c>
      <c r="D41" s="29">
        <f t="shared" ref="D41:Y41" si="39">D20/D19</f>
        <v>0.38617647058823534</v>
      </c>
      <c r="E41" s="29">
        <f t="shared" si="39"/>
        <v>0.91775550384821925</v>
      </c>
      <c r="F41" s="29">
        <f t="shared" si="39"/>
        <v>2.7721162643395032</v>
      </c>
      <c r="G41" s="29">
        <f t="shared" si="39"/>
        <v>2.4133898508898506</v>
      </c>
      <c r="H41" s="29">
        <f t="shared" si="39"/>
        <v>1.8631791941915137</v>
      </c>
      <c r="I41" s="29">
        <f t="shared" si="39"/>
        <v>1.4973070694135813</v>
      </c>
      <c r="J41" s="29">
        <f t="shared" si="39"/>
        <v>1.483830070037319</v>
      </c>
      <c r="K41" s="29">
        <f t="shared" si="39"/>
        <v>1.5174701191773476</v>
      </c>
      <c r="L41" s="29">
        <f t="shared" si="39"/>
        <v>1.4664286400697819</v>
      </c>
      <c r="M41" s="29">
        <f t="shared" si="39"/>
        <v>1.4303701384342413</v>
      </c>
      <c r="N41" s="29">
        <f t="shared" si="39"/>
        <v>1.6713976673114563</v>
      </c>
      <c r="O41" s="29">
        <f t="shared" si="39"/>
        <v>1.6671905011349746</v>
      </c>
      <c r="P41" s="29">
        <f t="shared" si="39"/>
        <v>1.7009881268114726</v>
      </c>
      <c r="Q41" s="29">
        <f t="shared" si="39"/>
        <v>1.7619042545256947</v>
      </c>
      <c r="R41" s="29">
        <f t="shared" si="39"/>
        <v>1.6429315808502944</v>
      </c>
      <c r="S41" s="29">
        <f t="shared" si="39"/>
        <v>1.5058929725404917</v>
      </c>
      <c r="T41" s="29">
        <f t="shared" si="39"/>
        <v>1.4907775590551182</v>
      </c>
      <c r="U41" s="29">
        <f t="shared" si="39"/>
        <v>1.8717595918516445</v>
      </c>
      <c r="V41" s="29">
        <f t="shared" si="39"/>
        <v>1.7857884027113347</v>
      </c>
      <c r="W41" s="29">
        <f t="shared" si="39"/>
        <v>1.7753623188405796</v>
      </c>
      <c r="X41" s="29">
        <f t="shared" si="39"/>
        <v>2.1926040061633283</v>
      </c>
      <c r="Y41" s="29">
        <f t="shared" si="39"/>
        <v>1.9015151515151516</v>
      </c>
      <c r="Z41" s="29">
        <f t="shared" ref="Z41" si="40">Z20/Z19</f>
        <v>1.8258992805755396</v>
      </c>
      <c r="AA41" s="1"/>
      <c r="AB41" s="1"/>
    </row>
    <row r="42" spans="1:28" x14ac:dyDescent="0.3">
      <c r="A42" s="16" t="s">
        <v>81</v>
      </c>
      <c r="B42" s="17" t="s">
        <v>43</v>
      </c>
      <c r="C42" s="1" t="s">
        <v>60</v>
      </c>
      <c r="D42" s="30">
        <f t="shared" ref="D42:Y42" si="41">(D20-D21)/D19</f>
        <v>0.28341176470588236</v>
      </c>
      <c r="E42" s="30">
        <f t="shared" si="41"/>
        <v>0.78293359584750322</v>
      </c>
      <c r="F42" s="30">
        <f t="shared" si="41"/>
        <v>2.5937434020691112</v>
      </c>
      <c r="G42" s="30">
        <f t="shared" si="41"/>
        <v>2.2138347763347759</v>
      </c>
      <c r="H42" s="30">
        <f t="shared" si="41"/>
        <v>1.6945585113769368</v>
      </c>
      <c r="I42" s="30">
        <f t="shared" si="41"/>
        <v>1.3011186019358969</v>
      </c>
      <c r="J42" s="30">
        <f t="shared" si="41"/>
        <v>1.3512601605234904</v>
      </c>
      <c r="K42" s="30">
        <f t="shared" si="41"/>
        <v>1.3132686420009341</v>
      </c>
      <c r="L42" s="30">
        <f t="shared" si="41"/>
        <v>1.312199232696871</v>
      </c>
      <c r="M42" s="30">
        <f t="shared" si="41"/>
        <v>1.3055610903949979</v>
      </c>
      <c r="N42" s="30">
        <f t="shared" si="41"/>
        <v>1.5730424531001408</v>
      </c>
      <c r="O42" s="30">
        <f t="shared" si="41"/>
        <v>1.5460916128281241</v>
      </c>
      <c r="P42" s="30">
        <f t="shared" si="41"/>
        <v>1.6236725193316996</v>
      </c>
      <c r="Q42" s="30">
        <f t="shared" si="41"/>
        <v>1.7142339616208329</v>
      </c>
      <c r="R42" s="30">
        <f t="shared" si="41"/>
        <v>1.5480231395818711</v>
      </c>
      <c r="S42" s="30">
        <f t="shared" si="41"/>
        <v>1.4551898162869654</v>
      </c>
      <c r="T42" s="30">
        <f t="shared" si="41"/>
        <v>1.4629822834645669</v>
      </c>
      <c r="U42" s="30">
        <f t="shared" si="41"/>
        <v>1.8658419277460523</v>
      </c>
      <c r="V42" s="30">
        <f t="shared" si="41"/>
        <v>1.7851685150996539</v>
      </c>
      <c r="W42" s="30">
        <f t="shared" si="41"/>
        <v>1.774695652173913</v>
      </c>
      <c r="X42" s="30">
        <f t="shared" si="41"/>
        <v>2.1918952234206475</v>
      </c>
      <c r="Y42" s="30">
        <f t="shared" si="41"/>
        <v>1.9008181818181817</v>
      </c>
      <c r="Z42" s="30">
        <f t="shared" ref="Z42" si="42">(Z20-Z21)/Z19</f>
        <v>1.8258992805755396</v>
      </c>
      <c r="AA42" s="1"/>
      <c r="AB42" s="1"/>
    </row>
    <row r="43" spans="1:28" x14ac:dyDescent="0.3">
      <c r="A43" s="18" t="s">
        <v>82</v>
      </c>
      <c r="B43" s="49" t="s">
        <v>44</v>
      </c>
      <c r="C43" s="6" t="s">
        <v>62</v>
      </c>
      <c r="D43" s="29">
        <f t="shared" ref="D43:Y43" si="43">D14/D19</f>
        <v>0.36729411764705883</v>
      </c>
      <c r="E43" s="29">
        <f t="shared" si="43"/>
        <v>1.1734383390012531</v>
      </c>
      <c r="F43" s="29">
        <f t="shared" si="43"/>
        <v>0.88253923569568582</v>
      </c>
      <c r="G43" s="29">
        <f t="shared" si="43"/>
        <v>0.76785714285714279</v>
      </c>
      <c r="H43" s="29">
        <f t="shared" si="43"/>
        <v>0.59320756214168102</v>
      </c>
      <c r="I43" s="29">
        <f t="shared" si="43"/>
        <v>0.46877079331600813</v>
      </c>
      <c r="J43" s="29">
        <f t="shared" si="43"/>
        <v>0.32342927253207909</v>
      </c>
      <c r="K43" s="29">
        <f t="shared" si="43"/>
        <v>0.26942037258056145</v>
      </c>
      <c r="L43" s="29">
        <f t="shared" si="43"/>
        <v>0.28337731650884468</v>
      </c>
      <c r="M43" s="29">
        <f t="shared" si="43"/>
        <v>0.23445579877221448</v>
      </c>
      <c r="N43" s="29">
        <f t="shared" si="43"/>
        <v>0.2858287454073048</v>
      </c>
      <c r="O43" s="29">
        <f t="shared" si="43"/>
        <v>0.32696583435190035</v>
      </c>
      <c r="P43" s="29">
        <f t="shared" si="43"/>
        <v>0.30390214970736673</v>
      </c>
      <c r="Q43" s="29">
        <f t="shared" si="43"/>
        <v>0.43101445878128564</v>
      </c>
      <c r="R43" s="29">
        <f t="shared" si="43"/>
        <v>0.35030519577192198</v>
      </c>
      <c r="S43" s="29">
        <f t="shared" si="43"/>
        <v>0.21247525361835692</v>
      </c>
      <c r="T43" s="29">
        <f t="shared" si="43"/>
        <v>0.24704724409448822</v>
      </c>
      <c r="U43" s="29">
        <f t="shared" si="43"/>
        <v>0.48826817002934486</v>
      </c>
      <c r="V43" s="29">
        <f t="shared" si="43"/>
        <v>0.85571442047246227</v>
      </c>
      <c r="W43" s="29">
        <f t="shared" si="43"/>
        <v>0.9391304347826086</v>
      </c>
      <c r="X43" s="29">
        <f t="shared" si="43"/>
        <v>0.79352850539291209</v>
      </c>
      <c r="Y43" s="29">
        <f t="shared" si="43"/>
        <v>1.0893939393939396</v>
      </c>
      <c r="Z43" s="29">
        <f t="shared" ref="Z43" si="44">Z14/Z19</f>
        <v>0.98561151079136688</v>
      </c>
      <c r="AA43" s="1"/>
      <c r="AB43" s="1"/>
    </row>
    <row r="44" spans="1:28" x14ac:dyDescent="0.3">
      <c r="A44" s="16" t="s">
        <v>83</v>
      </c>
      <c r="B44" s="17" t="s">
        <v>45</v>
      </c>
      <c r="C44" s="1" t="s">
        <v>63</v>
      </c>
      <c r="D44" s="30">
        <f t="shared" ref="D44:Y44" si="45">D29/D7</f>
        <v>-4.3483756794336928E-2</v>
      </c>
      <c r="E44" s="30">
        <f t="shared" si="45"/>
        <v>-2.7449204406364753</v>
      </c>
      <c r="F44" s="30">
        <f t="shared" si="45"/>
        <v>-1.2819219219219218</v>
      </c>
      <c r="G44" s="30">
        <f t="shared" si="45"/>
        <v>-0.81230099766503938</v>
      </c>
      <c r="H44" s="30">
        <f t="shared" si="45"/>
        <v>-2.0642857142857136</v>
      </c>
      <c r="I44" s="30">
        <f t="shared" si="45"/>
        <v>-1.1214035087719296</v>
      </c>
      <c r="J44" s="30">
        <f t="shared" si="45"/>
        <v>-0.74780346820809229</v>
      </c>
      <c r="K44" s="30">
        <f t="shared" si="45"/>
        <v>-0.32310975609756099</v>
      </c>
      <c r="L44" s="30">
        <f t="shared" si="45"/>
        <v>-0.99404999999999999</v>
      </c>
      <c r="M44" s="30">
        <f t="shared" si="45"/>
        <v>-0.60450236966824644</v>
      </c>
      <c r="N44" s="30">
        <f t="shared" si="45"/>
        <v>-0.76046082949308769</v>
      </c>
      <c r="O44" s="30">
        <f t="shared" si="45"/>
        <v>-0.67009009009009013</v>
      </c>
      <c r="P44" s="30">
        <f t="shared" si="45"/>
        <v>-0.9165348469340282</v>
      </c>
      <c r="Q44" s="30">
        <f t="shared" si="45"/>
        <v>-1.3244186046511628</v>
      </c>
      <c r="R44" s="30">
        <f t="shared" si="45"/>
        <v>-0.77779273216689104</v>
      </c>
      <c r="S44" s="30">
        <f t="shared" si="45"/>
        <v>-0.32785262997640241</v>
      </c>
      <c r="T44" s="30">
        <f t="shared" si="45"/>
        <v>8.3347224537421126E-3</v>
      </c>
      <c r="U44" s="30">
        <f t="shared" si="45"/>
        <v>-2.4216765453005928</v>
      </c>
      <c r="V44" s="30">
        <f t="shared" si="45"/>
        <v>-3.6446886446886446</v>
      </c>
      <c r="W44" s="30">
        <f t="shared" si="45"/>
        <v>-4.3786407766990285</v>
      </c>
      <c r="X44" s="30">
        <f t="shared" si="45"/>
        <v>-2.2545143711935038</v>
      </c>
      <c r="Y44" s="30">
        <f t="shared" si="45"/>
        <v>-3.4657650042265433</v>
      </c>
      <c r="Z44" s="30">
        <f t="shared" ref="Z44" si="46">Z29/Z7</f>
        <v>-3.2769230769230768</v>
      </c>
      <c r="AA44" s="1"/>
      <c r="AB44" s="1"/>
    </row>
    <row r="45" spans="1:28" x14ac:dyDescent="0.3">
      <c r="A45" s="18" t="s">
        <v>84</v>
      </c>
      <c r="B45" s="54" t="s">
        <v>99</v>
      </c>
      <c r="C45" s="6" t="s">
        <v>64</v>
      </c>
      <c r="D45" s="29">
        <f t="shared" ref="D45:Y45" si="47">D18/D23</f>
        <v>1.1111111111111112</v>
      </c>
      <c r="E45" s="29">
        <f t="shared" si="47"/>
        <v>0.51136301804661288</v>
      </c>
      <c r="F45" s="29">
        <f t="shared" si="47"/>
        <v>0.64609267761632039</v>
      </c>
      <c r="G45" s="29">
        <f t="shared" si="47"/>
        <v>0.70940749488723098</v>
      </c>
      <c r="H45" s="29">
        <f t="shared" si="47"/>
        <v>0.83178817056396137</v>
      </c>
      <c r="I45" s="29">
        <f t="shared" si="47"/>
        <v>1.05638924091862</v>
      </c>
      <c r="J45" s="29">
        <f t="shared" si="47"/>
        <v>1.221250068957908</v>
      </c>
      <c r="K45" s="29">
        <f t="shared" si="47"/>
        <v>1.1898814244175069</v>
      </c>
      <c r="L45" s="29">
        <f t="shared" si="47"/>
        <v>1.2497161621631063</v>
      </c>
      <c r="M45" s="29">
        <f t="shared" si="47"/>
        <v>1.2936183661030722</v>
      </c>
      <c r="N45" s="29">
        <f t="shared" si="47"/>
        <v>0.96449537027697652</v>
      </c>
      <c r="O45" s="29">
        <f t="shared" si="47"/>
        <v>0.99492375479705175</v>
      </c>
      <c r="P45" s="29">
        <f t="shared" si="47"/>
        <v>1.0139009556907037</v>
      </c>
      <c r="Q45" s="29">
        <f t="shared" si="47"/>
        <v>0.97453332130940573</v>
      </c>
      <c r="R45" s="29">
        <f t="shared" si="47"/>
        <v>1.1099809344104408</v>
      </c>
      <c r="S45" s="29">
        <f t="shared" si="47"/>
        <v>1.120058830640287</v>
      </c>
      <c r="T45" s="29">
        <f t="shared" si="47"/>
        <v>1.7325153374233127</v>
      </c>
      <c r="U45" s="29">
        <f t="shared" si="47"/>
        <v>1.4169611307420493</v>
      </c>
      <c r="V45" s="29">
        <f t="shared" si="47"/>
        <v>1.7263313609467457</v>
      </c>
      <c r="W45" s="29">
        <f t="shared" si="47"/>
        <v>1.5778443113772456</v>
      </c>
      <c r="X45" s="29">
        <f t="shared" si="47"/>
        <v>1.7691197691197691</v>
      </c>
      <c r="Y45" s="29">
        <f t="shared" si="47"/>
        <v>1.9771929824561405</v>
      </c>
      <c r="Z45" s="29">
        <f t="shared" ref="Z45" si="48">Z18/Z23</f>
        <v>1.8026533996683252</v>
      </c>
      <c r="AA45" s="1"/>
      <c r="AB45" s="1"/>
    </row>
    <row r="46" spans="1:28" x14ac:dyDescent="0.3">
      <c r="A46" s="18" t="s">
        <v>97</v>
      </c>
      <c r="B46" s="17" t="s">
        <v>100</v>
      </c>
      <c r="C46" s="6" t="s">
        <v>111</v>
      </c>
      <c r="D46" s="28">
        <f t="shared" ref="D46:AB46" si="49">D13/D4</f>
        <v>5.2899287894201424E-2</v>
      </c>
      <c r="E46" s="28">
        <f t="shared" si="49"/>
        <v>6.0330578512396696E-3</v>
      </c>
      <c r="F46" s="28">
        <f t="shared" si="49"/>
        <v>0</v>
      </c>
      <c r="G46" s="28">
        <f t="shared" si="49"/>
        <v>0</v>
      </c>
      <c r="H46" s="28">
        <f t="shared" si="49"/>
        <v>0</v>
      </c>
      <c r="I46" s="28">
        <f t="shared" si="49"/>
        <v>0</v>
      </c>
      <c r="J46" s="28">
        <f t="shared" si="49"/>
        <v>0</v>
      </c>
      <c r="K46" s="28">
        <f t="shared" si="49"/>
        <v>0</v>
      </c>
      <c r="L46" s="28">
        <f t="shared" si="49"/>
        <v>0</v>
      </c>
      <c r="M46" s="28">
        <f t="shared" si="49"/>
        <v>0</v>
      </c>
      <c r="N46" s="28">
        <f t="shared" si="49"/>
        <v>0</v>
      </c>
      <c r="O46" s="28">
        <f t="shared" si="49"/>
        <v>4.4827586206896558E-2</v>
      </c>
      <c r="P46" s="28">
        <f t="shared" si="49"/>
        <v>9.5693779904306234E-2</v>
      </c>
      <c r="Q46" s="28">
        <f t="shared" si="49"/>
        <v>2.6086956521739132E-2</v>
      </c>
      <c r="R46" s="28">
        <f t="shared" si="49"/>
        <v>0.22605363984674329</v>
      </c>
      <c r="S46" s="28">
        <f t="shared" si="49"/>
        <v>0.1111111111111111</v>
      </c>
      <c r="T46" s="28">
        <f t="shared" si="49"/>
        <v>4.4776119402985079E-2</v>
      </c>
      <c r="U46" s="28">
        <f t="shared" si="49"/>
        <v>4.6425255338904362E-2</v>
      </c>
      <c r="V46" s="28">
        <f t="shared" si="49"/>
        <v>0.16199634646537758</v>
      </c>
      <c r="W46" s="28">
        <f t="shared" si="49"/>
        <v>5.7232049947970869E-2</v>
      </c>
      <c r="X46" s="28">
        <f t="shared" si="49"/>
        <v>0.10077519379844961</v>
      </c>
      <c r="Y46" s="28">
        <f t="shared" si="49"/>
        <v>0</v>
      </c>
      <c r="Z46" s="28">
        <f t="shared" si="49"/>
        <v>0</v>
      </c>
      <c r="AA46" s="28">
        <f t="shared" si="49"/>
        <v>8.6345381526104409E-2</v>
      </c>
      <c r="AB46" s="28">
        <f t="shared" si="49"/>
        <v>8.6345381526104409E-2</v>
      </c>
    </row>
  </sheetData>
  <mergeCells count="2">
    <mergeCell ref="A6:A13"/>
    <mergeCell ref="A14:A2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1A2D0-1CA0-4828-A1D9-AFFBEFCB0884}">
  <sheetPr codeName="Planilha29"/>
  <dimension ref="A2:AF46"/>
  <sheetViews>
    <sheetView workbookViewId="0">
      <pane xSplit="3" ySplit="3" topLeftCell="P4" activePane="bottomRight" state="frozen"/>
      <selection activeCell="C22" sqref="C22"/>
      <selection pane="topRight" activeCell="C22" sqref="C22"/>
      <selection pane="bottomLeft" activeCell="C22" sqref="C22"/>
      <selection pane="bottomRight" activeCell="AD27" sqref="AD27:AF45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2" width="8.33203125" customWidth="1"/>
  </cols>
  <sheetData>
    <row r="2" spans="1:32" x14ac:dyDescent="0.3">
      <c r="AC2" s="104" t="s">
        <v>102</v>
      </c>
      <c r="AD2" s="104"/>
      <c r="AE2" s="104"/>
      <c r="AF2" s="104"/>
    </row>
    <row r="3" spans="1:32" s="10" customFormat="1" x14ac:dyDescent="0.3">
      <c r="A3" s="9" t="s">
        <v>25</v>
      </c>
      <c r="B3" s="8" t="s">
        <v>23</v>
      </c>
      <c r="C3" s="9" t="s">
        <v>24</v>
      </c>
      <c r="D3" s="8">
        <v>93</v>
      </c>
      <c r="E3" s="8">
        <v>94</v>
      </c>
      <c r="F3" s="8">
        <v>95</v>
      </c>
      <c r="G3" s="8">
        <v>96</v>
      </c>
      <c r="H3" s="8">
        <v>97</v>
      </c>
      <c r="I3" s="8">
        <v>98</v>
      </c>
      <c r="J3" s="8">
        <v>99</v>
      </c>
      <c r="K3" s="8">
        <v>2000</v>
      </c>
      <c r="L3" s="8">
        <v>1</v>
      </c>
      <c r="M3" s="8">
        <v>2</v>
      </c>
      <c r="N3" s="8">
        <v>3</v>
      </c>
      <c r="O3" s="8">
        <v>4</v>
      </c>
      <c r="P3" s="8">
        <v>5</v>
      </c>
      <c r="Q3" s="8">
        <v>6</v>
      </c>
      <c r="R3" s="8">
        <v>7</v>
      </c>
      <c r="S3" s="8">
        <v>8</v>
      </c>
      <c r="T3" s="8">
        <v>9</v>
      </c>
      <c r="U3" s="8">
        <v>10</v>
      </c>
      <c r="V3" s="8">
        <v>11</v>
      </c>
      <c r="W3" s="8">
        <v>12</v>
      </c>
      <c r="X3" s="8">
        <v>13</v>
      </c>
      <c r="Y3" s="8">
        <v>14</v>
      </c>
      <c r="Z3" s="8">
        <v>15</v>
      </c>
      <c r="AA3" s="8">
        <v>16</v>
      </c>
      <c r="AB3" s="8">
        <v>17</v>
      </c>
      <c r="AC3" s="8">
        <v>18</v>
      </c>
      <c r="AD3" s="8">
        <v>19</v>
      </c>
      <c r="AE3" s="8">
        <v>20</v>
      </c>
      <c r="AF3" s="8" t="s">
        <v>3</v>
      </c>
    </row>
    <row r="4" spans="1:32" x14ac:dyDescent="0.3">
      <c r="A4" s="4" t="s">
        <v>5</v>
      </c>
      <c r="B4" s="11">
        <v>1</v>
      </c>
      <c r="C4" s="6" t="s">
        <v>4</v>
      </c>
      <c r="D4" s="19">
        <v>0.32100000000000001</v>
      </c>
      <c r="E4" s="19">
        <v>0.27</v>
      </c>
      <c r="F4" s="19">
        <v>0.19600000000000001</v>
      </c>
      <c r="G4" s="19">
        <v>0.379</v>
      </c>
      <c r="H4" s="19">
        <v>0.35899999999999999</v>
      </c>
      <c r="I4" s="19">
        <v>0.41</v>
      </c>
      <c r="J4" s="19">
        <v>0.41099999999999998</v>
      </c>
      <c r="K4" s="19">
        <v>0.54400000000000004</v>
      </c>
      <c r="L4" s="19">
        <v>0.61299999999999999</v>
      </c>
      <c r="M4" s="19">
        <v>1.353</v>
      </c>
      <c r="N4" s="19">
        <v>1.169</v>
      </c>
      <c r="O4" s="19">
        <v>2.4039999999999999</v>
      </c>
      <c r="P4" s="19">
        <v>3.3439999999999999</v>
      </c>
      <c r="Q4" s="19">
        <v>2.73</v>
      </c>
      <c r="R4" s="19">
        <v>2.79</v>
      </c>
      <c r="S4" s="19">
        <v>2.2999999999999998</v>
      </c>
      <c r="T4" s="19">
        <v>1.71</v>
      </c>
      <c r="U4" s="19">
        <v>1.85</v>
      </c>
      <c r="V4" s="19">
        <v>1.1499999999999999</v>
      </c>
      <c r="W4" s="19">
        <v>1.4</v>
      </c>
      <c r="X4" s="19">
        <v>1.74</v>
      </c>
      <c r="Y4" s="19">
        <v>1.81</v>
      </c>
      <c r="Z4" s="19">
        <v>1.5</v>
      </c>
      <c r="AA4" s="19">
        <v>0.75</v>
      </c>
      <c r="AB4" s="19">
        <v>0.65</v>
      </c>
      <c r="AC4" s="19">
        <v>0.40400000000000003</v>
      </c>
      <c r="AD4" s="19">
        <v>0.1</v>
      </c>
      <c r="AE4" s="19">
        <v>7.4499999999999997E-2</v>
      </c>
      <c r="AF4" s="19">
        <v>7.4499999999999997E-2</v>
      </c>
    </row>
    <row r="5" spans="1:32" x14ac:dyDescent="0.3">
      <c r="A5" s="5" t="s">
        <v>8</v>
      </c>
      <c r="B5" s="12">
        <v>3</v>
      </c>
      <c r="C5" s="1" t="s">
        <v>86</v>
      </c>
      <c r="D5" s="3"/>
      <c r="E5" s="3"/>
      <c r="F5" s="3"/>
      <c r="G5" s="3"/>
      <c r="H5" s="3"/>
      <c r="I5" s="3">
        <v>5</v>
      </c>
      <c r="J5" s="3">
        <v>5</v>
      </c>
      <c r="K5" s="3">
        <v>5</v>
      </c>
      <c r="L5" s="3">
        <v>5</v>
      </c>
      <c r="M5" s="3">
        <v>5</v>
      </c>
      <c r="N5" s="3">
        <v>5</v>
      </c>
      <c r="O5" s="3">
        <v>5</v>
      </c>
      <c r="P5" s="3">
        <v>5</v>
      </c>
      <c r="Q5" s="3">
        <v>10</v>
      </c>
      <c r="R5" s="3">
        <v>10</v>
      </c>
      <c r="S5" s="3">
        <v>12</v>
      </c>
      <c r="T5" s="3">
        <v>12</v>
      </c>
      <c r="U5" s="3">
        <v>12</v>
      </c>
      <c r="V5" s="3">
        <v>12</v>
      </c>
      <c r="W5" s="3">
        <v>12</v>
      </c>
      <c r="X5" s="3">
        <v>12</v>
      </c>
      <c r="Y5" s="3">
        <v>12</v>
      </c>
      <c r="Z5" s="3">
        <v>12</v>
      </c>
      <c r="AA5" s="3">
        <v>12</v>
      </c>
      <c r="AB5" s="3">
        <v>12</v>
      </c>
      <c r="AC5" s="3">
        <v>12</v>
      </c>
      <c r="AD5" s="3">
        <v>11.854615000000001</v>
      </c>
      <c r="AE5" s="3">
        <v>11.854615000000001</v>
      </c>
      <c r="AF5" s="3">
        <v>11.854615000000001</v>
      </c>
    </row>
    <row r="6" spans="1:32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/>
      <c r="I6" s="7">
        <f>(5187658.151*5)/1000000</f>
        <v>25.938290755000001</v>
      </c>
      <c r="J6" s="7">
        <f>(5934142.964*5)/1000000</f>
        <v>29.670714820000001</v>
      </c>
      <c r="K6" s="7">
        <v>34.54216538</v>
      </c>
      <c r="L6" s="7">
        <v>36.587698940000003</v>
      </c>
      <c r="M6" s="7">
        <v>39.501190000000001</v>
      </c>
      <c r="N6" s="7">
        <v>44.475918999999998</v>
      </c>
      <c r="O6" s="7">
        <v>52.996062999999999</v>
      </c>
      <c r="P6" s="7">
        <v>67.764424000000005</v>
      </c>
      <c r="Q6" s="7">
        <v>67.329575000000006</v>
      </c>
      <c r="R6" s="7">
        <v>73.230772000000002</v>
      </c>
      <c r="S6" s="7">
        <v>77.774579000000003</v>
      </c>
      <c r="T6" s="7">
        <v>63.455851000000003</v>
      </c>
      <c r="U6" s="7">
        <v>85.618615000000005</v>
      </c>
      <c r="V6" s="7">
        <v>8.6099610000000002</v>
      </c>
      <c r="W6" s="7">
        <v>10.100984</v>
      </c>
      <c r="X6" s="7">
        <v>16.760000000000002</v>
      </c>
      <c r="Y6" s="7">
        <v>19.78</v>
      </c>
      <c r="Z6" s="7">
        <v>28.76</v>
      </c>
      <c r="AA6" s="7">
        <v>81.58</v>
      </c>
      <c r="AB6" s="7">
        <v>83.81</v>
      </c>
      <c r="AC6" s="7">
        <v>73.790000000000006</v>
      </c>
      <c r="AD6" s="7"/>
      <c r="AE6" s="7"/>
      <c r="AF6" s="7"/>
    </row>
    <row r="7" spans="1:32" x14ac:dyDescent="0.3">
      <c r="A7" s="101"/>
      <c r="B7" s="13">
        <v>5</v>
      </c>
      <c r="C7" s="1" t="s">
        <v>9</v>
      </c>
      <c r="D7" s="3"/>
      <c r="E7" s="3"/>
      <c r="F7" s="3"/>
      <c r="G7" s="3"/>
      <c r="H7" s="3"/>
      <c r="I7" s="3">
        <f>I8+(109964.951*5/1000000)</f>
        <v>0.74429430500000004</v>
      </c>
      <c r="J7" s="3">
        <f>J8+(65686.871*5/1000000)</f>
        <v>1.138649435</v>
      </c>
      <c r="K7" s="3">
        <f>K8+0.370861</f>
        <v>0.85642700000000005</v>
      </c>
      <c r="L7" s="3">
        <f>L8+0.367098</f>
        <v>1.0947260000000001</v>
      </c>
      <c r="M7" s="3">
        <f>M8+0.409754</f>
        <v>1.105469</v>
      </c>
      <c r="N7" s="3">
        <f>N8+0.537982</f>
        <v>1.5875059999999999</v>
      </c>
      <c r="O7" s="3">
        <v>3.1579489999999999</v>
      </c>
      <c r="P7" s="3">
        <v>3.3637410000000001</v>
      </c>
      <c r="Q7" s="3">
        <v>4.1824450000000004</v>
      </c>
      <c r="R7" s="3">
        <v>4.4027630000000002</v>
      </c>
      <c r="S7" s="32">
        <v>4.3993330000000004</v>
      </c>
      <c r="T7" s="32">
        <v>2.8084799999999999</v>
      </c>
      <c r="U7" s="3">
        <v>4.613804</v>
      </c>
      <c r="V7" s="3">
        <v>-3.9615939999999998</v>
      </c>
      <c r="W7" s="3">
        <v>-5.5620190000000003</v>
      </c>
      <c r="X7" s="3">
        <f>X8+(0.38486)</f>
        <v>-3.7451400000000001</v>
      </c>
      <c r="Y7" s="3">
        <f>Y8+(0.323782)</f>
        <v>-0.36621799999999993</v>
      </c>
      <c r="Z7" s="3">
        <f>Z8+(0.259391)</f>
        <v>-5.2206090000000005</v>
      </c>
      <c r="AA7" s="3">
        <f>AA8+1.969652</f>
        <v>-2.4703480000000004</v>
      </c>
      <c r="AB7" s="3">
        <f>AB8+1.85467</f>
        <v>-12.94533</v>
      </c>
      <c r="AC7" s="3">
        <f>AC8+(0.761745*1.33)</f>
        <v>-3.0768791499999999</v>
      </c>
      <c r="AD7" s="3"/>
      <c r="AE7" s="3"/>
      <c r="AF7" s="3"/>
    </row>
    <row r="8" spans="1:32" x14ac:dyDescent="0.3">
      <c r="A8" s="101"/>
      <c r="B8" s="13">
        <v>6</v>
      </c>
      <c r="C8" s="6" t="s">
        <v>10</v>
      </c>
      <c r="D8" s="7"/>
      <c r="E8" s="7"/>
      <c r="F8" s="7"/>
      <c r="G8" s="7"/>
      <c r="H8" s="7"/>
      <c r="I8" s="43">
        <f>(38893.91*5)/1000000</f>
        <v>0.19446955000000002</v>
      </c>
      <c r="J8" s="7">
        <f>(162043.016*5)/1000000</f>
        <v>0.81021508000000009</v>
      </c>
      <c r="K8" s="19">
        <v>0.485566</v>
      </c>
      <c r="L8" s="7">
        <v>0.72762800000000005</v>
      </c>
      <c r="M8" s="7">
        <v>0.69571499999999997</v>
      </c>
      <c r="N8" s="7">
        <v>1.0495239999999999</v>
      </c>
      <c r="O8" s="7">
        <v>2.3861370000000002</v>
      </c>
      <c r="P8" s="7">
        <v>2.031085</v>
      </c>
      <c r="Q8" s="7">
        <v>2.688698</v>
      </c>
      <c r="R8" s="7">
        <v>2.7699560000000001</v>
      </c>
      <c r="S8" s="7">
        <v>2.9919790000000002</v>
      </c>
      <c r="T8" s="7">
        <v>1.6098749999999999</v>
      </c>
      <c r="U8" s="7">
        <v>3.3859340000000002</v>
      </c>
      <c r="V8" s="7">
        <v>-4.2906060000000004</v>
      </c>
      <c r="W8" s="7">
        <v>-5.9248120000000002</v>
      </c>
      <c r="X8" s="7">
        <v>-4.13</v>
      </c>
      <c r="Y8" s="7">
        <v>-0.69</v>
      </c>
      <c r="Z8" s="7">
        <v>-5.48</v>
      </c>
      <c r="AA8" s="7">
        <v>-4.4400000000000004</v>
      </c>
      <c r="AB8" s="7">
        <v>-14.8</v>
      </c>
      <c r="AC8" s="7">
        <v>-4.09</v>
      </c>
      <c r="AD8" s="7"/>
      <c r="AE8" s="7"/>
      <c r="AF8" s="7"/>
    </row>
    <row r="9" spans="1:32" x14ac:dyDescent="0.3">
      <c r="A9" s="101"/>
      <c r="B9" s="13">
        <v>11</v>
      </c>
      <c r="C9" s="1" t="s">
        <v>11</v>
      </c>
      <c r="D9" s="3"/>
      <c r="E9" s="3"/>
      <c r="F9" s="3"/>
      <c r="G9" s="3"/>
      <c r="H9" s="3"/>
      <c r="I9" s="22">
        <f>(66581.556*5)/1000000</f>
        <v>0.33290777999999999</v>
      </c>
      <c r="J9" s="22">
        <f>(30325.672*5)/1000000</f>
        <v>0.15162835999999999</v>
      </c>
      <c r="K9" s="35">
        <v>-0.34648912999999998</v>
      </c>
      <c r="L9" s="35">
        <v>-0.45056922999999999</v>
      </c>
      <c r="M9" s="22">
        <v>-4.6231000000000001E-2</v>
      </c>
      <c r="N9" s="22">
        <v>-0.107795</v>
      </c>
      <c r="O9" s="3">
        <f>O10-O8</f>
        <v>-0.58774100000000007</v>
      </c>
      <c r="P9" s="3">
        <f>P10-P8</f>
        <v>-0.52748200000000001</v>
      </c>
      <c r="Q9" s="3">
        <f t="shared" ref="Q9:R9" si="0">Q10-Q8</f>
        <v>-1.0035849999999999</v>
      </c>
      <c r="R9" s="3">
        <f t="shared" si="0"/>
        <v>-1.113148</v>
      </c>
      <c r="S9" s="30">
        <v>-1.111326</v>
      </c>
      <c r="T9" s="30">
        <v>-0.61105699999999996</v>
      </c>
      <c r="U9" s="50">
        <v>-0.40668599999999999</v>
      </c>
      <c r="V9" s="3">
        <v>-0.586592</v>
      </c>
      <c r="W9" s="35">
        <v>-0.48728700000000003</v>
      </c>
      <c r="X9" s="3">
        <f>X8-X10</f>
        <v>-9.3563320000000001</v>
      </c>
      <c r="Y9" s="3">
        <f>Y8-Y10</f>
        <v>-3.6395999999999984E-2</v>
      </c>
      <c r="Z9" s="3">
        <v>-9.3000000000000007</v>
      </c>
      <c r="AA9" s="3">
        <v>-7.7920369999999997</v>
      </c>
      <c r="AB9" s="3">
        <v>21.179027999999999</v>
      </c>
      <c r="AC9" s="3">
        <v>-5.89</v>
      </c>
      <c r="AD9" s="3"/>
      <c r="AE9" s="3"/>
      <c r="AF9" s="3"/>
    </row>
    <row r="10" spans="1:32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/>
      <c r="I10" s="7">
        <f>(120130.634*5)/1000000</f>
        <v>0.60065317000000007</v>
      </c>
      <c r="J10" s="7">
        <f>(173438.665*5)/1000000</f>
        <v>0.86719332500000001</v>
      </c>
      <c r="K10" s="7">
        <v>0.83437600000000001</v>
      </c>
      <c r="L10" s="19">
        <v>1.007234</v>
      </c>
      <c r="M10" s="7">
        <v>1.206305</v>
      </c>
      <c r="N10" s="7">
        <v>1.10358</v>
      </c>
      <c r="O10" s="7">
        <v>1.7983960000000001</v>
      </c>
      <c r="P10" s="7">
        <v>1.503603</v>
      </c>
      <c r="Q10" s="7">
        <v>1.6851130000000001</v>
      </c>
      <c r="R10" s="7">
        <v>1.6568080000000001</v>
      </c>
      <c r="S10" s="7">
        <v>2.6435140000000001</v>
      </c>
      <c r="T10" s="7">
        <v>0.99881699999999995</v>
      </c>
      <c r="U10" s="7">
        <v>2.979247</v>
      </c>
      <c r="V10" s="7">
        <v>-4.5752680000000003</v>
      </c>
      <c r="W10" s="7">
        <v>-6.64628</v>
      </c>
      <c r="X10" s="7">
        <v>5.2263320000000002</v>
      </c>
      <c r="Y10" s="7">
        <v>-0.65360399999999996</v>
      </c>
      <c r="Z10" s="7">
        <v>3.82</v>
      </c>
      <c r="AA10" s="7">
        <v>-12.232862000000001</v>
      </c>
      <c r="AB10" s="7">
        <v>6.378158</v>
      </c>
      <c r="AC10" s="7">
        <v>1.8</v>
      </c>
      <c r="AD10" s="7"/>
      <c r="AE10" s="7"/>
      <c r="AF10" s="7"/>
    </row>
    <row r="11" spans="1:32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/>
      <c r="I11" s="22">
        <f>(2704.097*5)/1000000</f>
        <v>1.3520485E-2</v>
      </c>
      <c r="J11" s="22">
        <f>(4752.411*5)/1000000</f>
        <v>2.3762055000000001E-2</v>
      </c>
      <c r="K11" s="35">
        <v>0.36876300000000001</v>
      </c>
      <c r="L11" s="35">
        <v>0.33369799999999999</v>
      </c>
      <c r="M11" s="35">
        <v>0.32173600000000002</v>
      </c>
      <c r="N11" s="35">
        <v>0.32551999999999998</v>
      </c>
      <c r="O11" s="35">
        <v>0.29589300000000002</v>
      </c>
      <c r="P11" s="35">
        <v>0.38715500000000003</v>
      </c>
      <c r="Q11" s="35">
        <v>-9.6543000000000004E-2</v>
      </c>
      <c r="R11" s="35">
        <v>7.7586000000000002E-2</v>
      </c>
      <c r="S11" s="30">
        <v>0.351605</v>
      </c>
      <c r="T11" s="30">
        <v>-0.30227399999999999</v>
      </c>
      <c r="U11" s="35">
        <v>-1.2626999999999999E-2</v>
      </c>
      <c r="V11" s="35">
        <v>0.34547600000000001</v>
      </c>
      <c r="W11" s="35">
        <v>0.33409800000000001</v>
      </c>
      <c r="X11" s="35">
        <v>2.29</v>
      </c>
      <c r="Y11" s="3">
        <v>1.48</v>
      </c>
      <c r="Z11" s="3">
        <v>0.9</v>
      </c>
      <c r="AA11" s="35">
        <v>0.42</v>
      </c>
      <c r="AB11" s="35">
        <v>0.32</v>
      </c>
      <c r="AC11" s="35">
        <v>0.55000000000000004</v>
      </c>
      <c r="AD11" s="3"/>
      <c r="AE11" s="3"/>
      <c r="AF11" s="3"/>
    </row>
    <row r="12" spans="1:32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/>
      <c r="I12" s="7">
        <f>(117426.537*5)/1000000</f>
        <v>0.58713268499999993</v>
      </c>
      <c r="J12" s="7">
        <f>(168686.255*5)/1000000</f>
        <v>0.84343127500000004</v>
      </c>
      <c r="K12" s="19">
        <v>0.46561200000000003</v>
      </c>
      <c r="L12" s="7">
        <v>0.67353600000000002</v>
      </c>
      <c r="M12" s="7">
        <v>0.88456900000000005</v>
      </c>
      <c r="N12" s="7">
        <v>0.77805999999999997</v>
      </c>
      <c r="O12" s="7">
        <v>1.4859849999999999</v>
      </c>
      <c r="P12" s="7">
        <v>1.2973730000000001</v>
      </c>
      <c r="Q12" s="7">
        <v>1.350238</v>
      </c>
      <c r="R12" s="7">
        <v>1.4496100000000001</v>
      </c>
      <c r="S12" s="7">
        <v>2.2724380000000002</v>
      </c>
      <c r="T12" s="7">
        <v>1.301091</v>
      </c>
      <c r="U12" s="7">
        <v>3.0970900000000001</v>
      </c>
      <c r="V12" s="7">
        <v>5.7365389999999996</v>
      </c>
      <c r="W12" s="7">
        <v>9.0607602000000007</v>
      </c>
      <c r="X12" s="7">
        <v>3.0788760000000002</v>
      </c>
      <c r="Y12" s="7">
        <v>1.52</v>
      </c>
      <c r="Z12" s="7">
        <v>3.05</v>
      </c>
      <c r="AA12" s="7">
        <v>-12.79</v>
      </c>
      <c r="AB12" s="7">
        <v>-2.04</v>
      </c>
      <c r="AC12" s="7">
        <v>-10.77</v>
      </c>
      <c r="AD12" s="7"/>
      <c r="AE12" s="7"/>
      <c r="AF12" s="7"/>
    </row>
    <row r="13" spans="1:32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3"/>
      <c r="I13" s="22">
        <f>(54306.558*5/1000000)/S5</f>
        <v>2.2627732499999997E-2</v>
      </c>
      <c r="J13" s="22">
        <f>(54306.558*5/1000000)/T5</f>
        <v>2.2627732499999997E-2</v>
      </c>
      <c r="K13" s="22">
        <f>(L13+J13)/2</f>
        <v>3.5176766249999998E-2</v>
      </c>
      <c r="L13" s="22">
        <f>0.238629/L5</f>
        <v>4.7725799999999999E-2</v>
      </c>
      <c r="M13" s="22">
        <f>0.232809/M5</f>
        <v>4.65618E-2</v>
      </c>
      <c r="N13" s="22">
        <f>0.225451/N5</f>
        <v>4.5090200000000004E-2</v>
      </c>
      <c r="O13" s="35">
        <f>0.22536/O5</f>
        <v>4.5072000000000001E-2</v>
      </c>
      <c r="P13" s="22">
        <f>0.464923/P5</f>
        <v>9.2984600000000001E-2</v>
      </c>
      <c r="Q13" s="22">
        <f>0.000061/Q5</f>
        <v>6.1E-6</v>
      </c>
      <c r="R13" s="22">
        <f>0.681146/R5</f>
        <v>6.8114599999999997E-2</v>
      </c>
      <c r="S13" s="47">
        <f>0.983895/S5</f>
        <v>8.1991250000000002E-2</v>
      </c>
      <c r="T13" s="47">
        <f>1.496962/T5</f>
        <v>0.12474683333333332</v>
      </c>
      <c r="U13" s="47">
        <f>1.136268/U5</f>
        <v>9.4689000000000009E-2</v>
      </c>
      <c r="V13" s="47">
        <f>1.496057/V5</f>
        <v>0.12467141666666666</v>
      </c>
      <c r="W13" s="47">
        <f>3.5/W5</f>
        <v>0.29166666666666669</v>
      </c>
      <c r="X13" s="47">
        <f>3.429037/X5</f>
        <v>0.28575308333333332</v>
      </c>
      <c r="Y13" s="47">
        <f>3.429059/Y5</f>
        <v>0.28575491666666669</v>
      </c>
      <c r="Z13" s="3">
        <v>0</v>
      </c>
      <c r="AA13" s="3">
        <v>0</v>
      </c>
      <c r="AB13" s="3">
        <v>0</v>
      </c>
      <c r="AC13" s="3">
        <v>0</v>
      </c>
      <c r="AD13" s="3"/>
      <c r="AE13" s="3"/>
      <c r="AF13" s="3"/>
    </row>
    <row r="14" spans="1:32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/>
      <c r="I14" s="7">
        <v>1</v>
      </c>
      <c r="J14" s="7">
        <f>(383984.616*5)/1000000</f>
        <v>1.9199230799999998</v>
      </c>
      <c r="K14" s="7">
        <v>3</v>
      </c>
      <c r="L14" s="7">
        <f>(4432012)/1000000</f>
        <v>4.4320120000000003</v>
      </c>
      <c r="M14" s="7">
        <v>4.6551179999999999</v>
      </c>
      <c r="N14" s="7">
        <v>4.9447580000000002</v>
      </c>
      <c r="O14" s="7">
        <v>6.9637849999999997</v>
      </c>
      <c r="P14" s="7">
        <v>13.096492</v>
      </c>
      <c r="Q14" s="7">
        <v>10.340823</v>
      </c>
      <c r="R14" s="7">
        <v>11.095753999999999</v>
      </c>
      <c r="S14" s="7">
        <v>19.391697000000001</v>
      </c>
      <c r="T14" s="7">
        <v>13.507659</v>
      </c>
      <c r="U14" s="7">
        <v>32.250326999999999</v>
      </c>
      <c r="V14" s="7">
        <v>14.973833000000001</v>
      </c>
      <c r="W14" s="7">
        <v>5.165921</v>
      </c>
      <c r="X14" s="7">
        <v>8.4</v>
      </c>
      <c r="Y14" s="7">
        <v>9</v>
      </c>
      <c r="Z14" s="7">
        <v>44.3</v>
      </c>
      <c r="AA14" s="7">
        <v>5.5</v>
      </c>
      <c r="AB14" s="7">
        <v>3.2</v>
      </c>
      <c r="AC14" s="7">
        <v>2.5</v>
      </c>
      <c r="AD14" s="7"/>
      <c r="AE14" s="7"/>
      <c r="AF14" s="7"/>
    </row>
    <row r="15" spans="1:32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/>
      <c r="I15" s="3">
        <f>(100000+55000)*5/1000000</f>
        <v>0.77500000000000002</v>
      </c>
      <c r="J15" s="22">
        <f>(14000)*5/1000000</f>
        <v>7.0000000000000007E-2</v>
      </c>
      <c r="K15" s="3">
        <f>499.367</f>
        <v>499.36700000000002</v>
      </c>
      <c r="L15" s="3">
        <v>523.73699999999997</v>
      </c>
      <c r="M15" s="35">
        <v>0.31445899999999999</v>
      </c>
      <c r="N15" s="3">
        <v>0.80118299999999998</v>
      </c>
      <c r="O15" s="3">
        <f>6.5+0.560958+1.06021+0.108288</f>
        <v>8.2294560000000008</v>
      </c>
      <c r="P15" s="3">
        <f>10.529412+0.522724+11.297207+0.053797</f>
        <v>22.40314</v>
      </c>
      <c r="Q15" s="3">
        <f>7.970625+0.470725+8.497068+0.053908</f>
        <v>16.992325999999998</v>
      </c>
      <c r="R15" s="3">
        <f>10.399648+0.485777+11.474181+0.085597</f>
        <v>22.445202999999999</v>
      </c>
      <c r="S15" s="32">
        <f>13.234821+0.43383+10.103595+0.102534</f>
        <v>23.874780000000001</v>
      </c>
      <c r="T15" s="32">
        <f>10.273096+0.427838+13.35056+0.10433</f>
        <v>24.155823999999999</v>
      </c>
      <c r="U15" s="3">
        <f>15.322675+12.616425+16.693769</f>
        <v>44.632868999999999</v>
      </c>
      <c r="V15" s="3">
        <f>6.043574+12.695+11.659621</f>
        <v>30.398195000000001</v>
      </c>
      <c r="W15" s="3">
        <v>18.586791000000002</v>
      </c>
      <c r="X15" s="3">
        <v>58.2</v>
      </c>
      <c r="Y15" s="3">
        <v>66.8</v>
      </c>
      <c r="Z15" s="3">
        <v>106.2</v>
      </c>
      <c r="AA15" s="3">
        <v>62.1</v>
      </c>
      <c r="AB15" s="3">
        <v>35.5</v>
      </c>
      <c r="AC15" s="3">
        <v>29.1</v>
      </c>
      <c r="AD15" s="3"/>
      <c r="AE15" s="3"/>
      <c r="AF15" s="3"/>
    </row>
    <row r="16" spans="1:32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7"/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19">
        <v>2.7050000000000001E-2</v>
      </c>
      <c r="R16" s="19">
        <v>2.7591000000000001E-2</v>
      </c>
      <c r="S16" s="19">
        <v>2.7042E-2</v>
      </c>
      <c r="T16" s="19">
        <v>7.8370000000000002E-3</v>
      </c>
      <c r="U16" s="7">
        <v>0.93552000000000002</v>
      </c>
      <c r="V16" s="7">
        <v>0.61604199999999998</v>
      </c>
      <c r="W16" s="7">
        <v>0.59172899999999995</v>
      </c>
      <c r="X16" s="19">
        <v>-0.100289</v>
      </c>
      <c r="Y16" s="36">
        <v>-0.2</v>
      </c>
      <c r="Z16" s="36">
        <v>-0.3</v>
      </c>
      <c r="AA16" s="36">
        <v>4.6155379999999999</v>
      </c>
      <c r="AB16" s="36">
        <v>2.7932899999999998</v>
      </c>
      <c r="AC16" s="36">
        <v>2.8</v>
      </c>
      <c r="AD16" s="7"/>
      <c r="AE16" s="7"/>
      <c r="AF16" s="7"/>
    </row>
    <row r="17" spans="1:32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/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/>
      <c r="AE17" s="3">
        <v>0</v>
      </c>
      <c r="AF17" s="3">
        <v>0</v>
      </c>
    </row>
    <row r="18" spans="1:32" x14ac:dyDescent="0.3">
      <c r="A18" s="103"/>
      <c r="B18" s="14">
        <v>15</v>
      </c>
      <c r="C18" s="6" t="s">
        <v>19</v>
      </c>
      <c r="D18" s="7"/>
      <c r="E18" s="7"/>
      <c r="F18" s="7"/>
      <c r="G18" s="7"/>
      <c r="H18" s="7"/>
      <c r="I18" s="7">
        <f>(2320187.812*5)/1000000</f>
        <v>11.600939059999998</v>
      </c>
      <c r="J18" s="7">
        <f>(2434505.221*5)/1000000</f>
        <v>12.172526105000001</v>
      </c>
      <c r="K18" s="7">
        <v>13.361288999999999</v>
      </c>
      <c r="L18" s="7">
        <v>15.580219</v>
      </c>
      <c r="M18" s="7">
        <v>17.428953</v>
      </c>
      <c r="N18" s="7">
        <v>19.572966000000001</v>
      </c>
      <c r="O18" s="7">
        <v>29.160131</v>
      </c>
      <c r="P18" s="7">
        <v>56.547787</v>
      </c>
      <c r="Q18" s="7">
        <v>47.262253999999999</v>
      </c>
      <c r="R18" s="7">
        <v>53.973875999999997</v>
      </c>
      <c r="S18" s="7">
        <v>48.719813000000002</v>
      </c>
      <c r="T18" s="7">
        <v>51.645792999999998</v>
      </c>
      <c r="U18" s="7">
        <v>76.058357999999998</v>
      </c>
      <c r="V18" s="7">
        <v>69.333539999999999</v>
      </c>
      <c r="W18" s="7">
        <v>51.788587</v>
      </c>
      <c r="X18" s="7">
        <v>71.233840000000001</v>
      </c>
      <c r="Y18" s="7">
        <v>114.958281</v>
      </c>
      <c r="Z18" s="7">
        <v>136.37453099999999</v>
      </c>
      <c r="AA18" s="7">
        <v>135</v>
      </c>
      <c r="AB18" s="7">
        <v>106.1</v>
      </c>
      <c r="AC18" s="7">
        <v>71.3</v>
      </c>
      <c r="AD18" s="7"/>
      <c r="AE18" s="7"/>
      <c r="AF18" s="7"/>
    </row>
    <row r="19" spans="1:32" x14ac:dyDescent="0.3">
      <c r="A19" s="103"/>
      <c r="B19" s="14">
        <v>18</v>
      </c>
      <c r="C19" s="1" t="s">
        <v>21</v>
      </c>
      <c r="D19" s="3"/>
      <c r="E19" s="3"/>
      <c r="F19" s="3"/>
      <c r="G19" s="3"/>
      <c r="H19" s="3"/>
      <c r="I19" s="3">
        <f>(1850686.41*5)/1000000</f>
        <v>9.2534320499999989</v>
      </c>
      <c r="J19" s="3">
        <f>(1950298.733*5)/1000000</f>
        <v>9.7514936649999999</v>
      </c>
      <c r="K19" s="3">
        <v>11.034037</v>
      </c>
      <c r="L19" s="3">
        <v>12.761126000000001</v>
      </c>
      <c r="M19" s="3">
        <v>12.771604999999999</v>
      </c>
      <c r="N19" s="3">
        <v>14.285766000000001</v>
      </c>
      <c r="O19" s="3">
        <v>19.596997000000002</v>
      </c>
      <c r="P19" s="3">
        <v>42.843941000000001</v>
      </c>
      <c r="Q19" s="3">
        <v>36.427286000000002</v>
      </c>
      <c r="R19" s="3">
        <v>40.396177999999999</v>
      </c>
      <c r="S19" s="3">
        <v>32.746544</v>
      </c>
      <c r="T19" s="3">
        <v>39.055498999999998</v>
      </c>
      <c r="U19" s="3">
        <v>46.336846999999999</v>
      </c>
      <c r="V19" s="3">
        <v>48.791080000000001</v>
      </c>
      <c r="W19" s="3">
        <v>27.964914</v>
      </c>
      <c r="X19" s="3">
        <v>0.5</v>
      </c>
      <c r="Y19" s="3">
        <v>0.2</v>
      </c>
      <c r="Z19" s="3">
        <v>0.9</v>
      </c>
      <c r="AA19" s="3">
        <v>50.7</v>
      </c>
      <c r="AB19" s="3">
        <v>42.9</v>
      </c>
      <c r="AC19" s="3">
        <v>41.7</v>
      </c>
      <c r="AD19" s="3"/>
      <c r="AE19" s="3"/>
      <c r="AF19" s="3"/>
    </row>
    <row r="20" spans="1:32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/>
      <c r="I20" s="7">
        <f>(42664.929+1331372.924+383984.615)*5/1000000</f>
        <v>8.7901123400000003</v>
      </c>
      <c r="J20" s="7">
        <f>(58204.737+1329596.393+546459.163)*5/1000000</f>
        <v>9.6713014649999991</v>
      </c>
      <c r="K20" s="7">
        <f>0.206266+9.93281+3.228626</f>
        <v>13.367702</v>
      </c>
      <c r="L20" s="7">
        <f>0.224789+11.238724+4.3572</f>
        <v>15.820712999999998</v>
      </c>
      <c r="M20" s="7">
        <f>0.232108+11.543661+4.580306</f>
        <v>16.356075000000001</v>
      </c>
      <c r="N20" s="7">
        <f>0.555223+11.793869+4.82041</f>
        <v>17.169502000000001</v>
      </c>
      <c r="O20" s="7">
        <v>22.941534000000001</v>
      </c>
      <c r="P20" s="7">
        <v>40.126278999999997</v>
      </c>
      <c r="Q20" s="7">
        <v>36.749153999999997</v>
      </c>
      <c r="R20" s="7">
        <v>40.743335000000002</v>
      </c>
      <c r="S20" s="7">
        <v>45.676602000000003</v>
      </c>
      <c r="T20" s="7">
        <v>45.803702999999999</v>
      </c>
      <c r="U20" s="7">
        <v>65.071337</v>
      </c>
      <c r="V20" s="7">
        <v>72.778893999999994</v>
      </c>
      <c r="W20" s="7">
        <v>29.456932999999999</v>
      </c>
      <c r="X20" s="7">
        <v>11.1</v>
      </c>
      <c r="Y20" s="7">
        <v>10.4</v>
      </c>
      <c r="Z20" s="7">
        <v>46</v>
      </c>
      <c r="AA20" s="7">
        <v>30.7</v>
      </c>
      <c r="AB20" s="7">
        <v>23</v>
      </c>
      <c r="AC20" s="7">
        <v>21.5</v>
      </c>
      <c r="AD20" s="7"/>
      <c r="AE20" s="7"/>
      <c r="AF20" s="7"/>
    </row>
    <row r="21" spans="1:32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/>
      <c r="I21" s="35">
        <f>(42664.929*5)/1000000</f>
        <v>0.21332464499999998</v>
      </c>
      <c r="J21" s="35">
        <f>(58204.737*5)/1000000</f>
        <v>0.29102368499999998</v>
      </c>
      <c r="K21" s="3">
        <v>0.206266</v>
      </c>
      <c r="L21" s="35">
        <v>0.22478899999999999</v>
      </c>
      <c r="M21" s="35">
        <v>0.23210800000000001</v>
      </c>
      <c r="N21" s="35">
        <v>0.55522300000000002</v>
      </c>
      <c r="O21" s="3">
        <v>0.630942</v>
      </c>
      <c r="P21" s="3">
        <v>0.817967</v>
      </c>
      <c r="Q21" s="3">
        <v>1.4996510000000001</v>
      </c>
      <c r="R21" s="3">
        <v>0.882185</v>
      </c>
      <c r="S21" s="32">
        <v>0.98377800000000004</v>
      </c>
      <c r="T21" s="32">
        <v>1.843842</v>
      </c>
      <c r="U21" s="3">
        <v>2.5831620000000002</v>
      </c>
      <c r="V21" s="3">
        <v>0</v>
      </c>
      <c r="W21" s="22">
        <v>3.2200000000000002E-3</v>
      </c>
      <c r="X21" s="3">
        <v>0</v>
      </c>
      <c r="Y21" s="3">
        <v>0</v>
      </c>
      <c r="Z21" s="3">
        <v>0</v>
      </c>
      <c r="AA21" s="3">
        <v>1.6</v>
      </c>
      <c r="AB21" s="3">
        <v>0.5</v>
      </c>
      <c r="AC21" s="3">
        <v>0.7</v>
      </c>
      <c r="AD21" s="3"/>
      <c r="AE21" s="3"/>
      <c r="AF21" s="3"/>
    </row>
    <row r="22" spans="1:32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/>
      <c r="I22" s="7">
        <f>(1092279.978*5)/1000000</f>
        <v>5.46139989</v>
      </c>
      <c r="J22" s="7">
        <f>(1114137.808*5)/1000000</f>
        <v>5.5706890400000004</v>
      </c>
      <c r="K22" s="7">
        <v>7.6931599999999998</v>
      </c>
      <c r="L22" s="7">
        <v>7.9524299999999997</v>
      </c>
      <c r="M22" s="7">
        <v>8.305123</v>
      </c>
      <c r="N22" s="7">
        <v>10.072286999999999</v>
      </c>
      <c r="O22" s="7">
        <v>12.811242</v>
      </c>
      <c r="P22" s="7">
        <v>19.035924999999999</v>
      </c>
      <c r="Q22" s="7">
        <v>21.080866</v>
      </c>
      <c r="R22" s="7">
        <v>23.069357</v>
      </c>
      <c r="S22" s="7">
        <v>12.699457000000001</v>
      </c>
      <c r="T22" s="7">
        <v>12.979336999999999</v>
      </c>
      <c r="U22" s="7">
        <v>16.104118</v>
      </c>
      <c r="V22" s="7">
        <v>7.2086610000000002</v>
      </c>
      <c r="W22" s="7">
        <v>5.7066869999999996</v>
      </c>
      <c r="X22" s="7">
        <v>2.5</v>
      </c>
      <c r="Y22" s="7">
        <v>1.3</v>
      </c>
      <c r="Z22" s="7">
        <v>1.2</v>
      </c>
      <c r="AA22" s="7">
        <v>18.7</v>
      </c>
      <c r="AB22" s="7">
        <v>17.8</v>
      </c>
      <c r="AC22" s="7">
        <v>15.2</v>
      </c>
      <c r="AD22" s="7"/>
      <c r="AE22" s="7"/>
      <c r="AF22" s="7"/>
    </row>
    <row r="23" spans="1:32" x14ac:dyDescent="0.3">
      <c r="A23" s="103"/>
      <c r="B23" s="14">
        <v>16</v>
      </c>
      <c r="C23" s="1" t="s">
        <v>20</v>
      </c>
      <c r="D23" s="3"/>
      <c r="E23" s="3"/>
      <c r="F23" s="3"/>
      <c r="G23" s="3"/>
      <c r="H23" s="3"/>
      <c r="I23" s="3">
        <f>(490797.86*5/1000000)</f>
        <v>2.4539892999999999</v>
      </c>
      <c r="J23" s="3">
        <f>633788.578*5/1000000</f>
        <v>3.1689428899999998</v>
      </c>
      <c r="K23" s="3">
        <v>5.9832229999999997</v>
      </c>
      <c r="L23" s="3">
        <v>6.4650100000000004</v>
      </c>
      <c r="M23" s="3">
        <v>6.2685050000000002</v>
      </c>
      <c r="N23" s="3">
        <v>6.5586440000000001</v>
      </c>
      <c r="O23" s="3">
        <v>7.5050420000000004</v>
      </c>
      <c r="P23" s="3">
        <v>9.3445090000000004</v>
      </c>
      <c r="Q23" s="3">
        <v>19.774121999999998</v>
      </c>
      <c r="R23" s="3">
        <v>21.181000000000001</v>
      </c>
      <c r="S23" s="32">
        <v>28.357144000000002</v>
      </c>
      <c r="T23" s="32">
        <v>26.773150999999999</v>
      </c>
      <c r="U23" s="3">
        <v>27.056636000000001</v>
      </c>
      <c r="V23" s="3">
        <v>26.454612000000001</v>
      </c>
      <c r="W23" s="3">
        <v>35.000588</v>
      </c>
      <c r="X23" s="3">
        <v>26.579053999999999</v>
      </c>
      <c r="Y23" s="3">
        <v>23.361155</v>
      </c>
      <c r="Z23" s="3">
        <v>23.2</v>
      </c>
      <c r="AA23" s="3">
        <v>12.7</v>
      </c>
      <c r="AB23" s="3">
        <v>11.8</v>
      </c>
      <c r="AC23" s="3">
        <v>-1.9</v>
      </c>
      <c r="AD23" s="3"/>
      <c r="AE23" s="3"/>
      <c r="AF23" s="3"/>
    </row>
    <row r="25" spans="1:32" x14ac:dyDescent="0.3">
      <c r="A25" s="9" t="s">
        <v>71</v>
      </c>
      <c r="B25" s="8"/>
      <c r="C25" s="9" t="s">
        <v>26</v>
      </c>
      <c r="D25" s="8">
        <v>93</v>
      </c>
      <c r="E25" s="8">
        <v>94</v>
      </c>
      <c r="F25" s="8">
        <v>95</v>
      </c>
      <c r="G25" s="8">
        <v>96</v>
      </c>
      <c r="H25" s="8">
        <v>97</v>
      </c>
      <c r="I25" s="8">
        <v>98</v>
      </c>
      <c r="J25" s="8">
        <v>99</v>
      </c>
      <c r="K25" s="8">
        <v>2000</v>
      </c>
      <c r="L25" s="8">
        <v>1</v>
      </c>
      <c r="M25" s="8">
        <v>2</v>
      </c>
      <c r="N25" s="8">
        <v>3</v>
      </c>
      <c r="O25" s="8">
        <v>4</v>
      </c>
      <c r="P25" s="8">
        <v>5</v>
      </c>
      <c r="Q25" s="8">
        <v>6</v>
      </c>
      <c r="R25" s="8">
        <v>7</v>
      </c>
      <c r="S25" s="8">
        <v>8</v>
      </c>
      <c r="T25" s="8">
        <v>9</v>
      </c>
      <c r="U25" s="8">
        <v>10</v>
      </c>
      <c r="V25" s="8">
        <v>11</v>
      </c>
      <c r="W25" s="8">
        <v>12</v>
      </c>
      <c r="X25" s="8">
        <v>13</v>
      </c>
      <c r="Y25" s="8">
        <v>14</v>
      </c>
      <c r="Z25" s="8">
        <v>15</v>
      </c>
      <c r="AA25" s="8">
        <v>16</v>
      </c>
      <c r="AB25" s="8">
        <v>17</v>
      </c>
      <c r="AC25" s="8">
        <v>18</v>
      </c>
      <c r="AD25" s="8">
        <v>19</v>
      </c>
      <c r="AE25" s="8">
        <v>20</v>
      </c>
      <c r="AF25" s="8" t="s">
        <v>3</v>
      </c>
    </row>
    <row r="26" spans="1:32" x14ac:dyDescent="0.3">
      <c r="A26" s="6" t="s">
        <v>65</v>
      </c>
      <c r="B26" s="17" t="s">
        <v>27</v>
      </c>
      <c r="C26" s="6" t="s">
        <v>85</v>
      </c>
      <c r="D26" s="6">
        <f t="shared" ref="D26:AF26" si="1">D4*D5</f>
        <v>0</v>
      </c>
      <c r="E26" s="6">
        <f t="shared" si="1"/>
        <v>0</v>
      </c>
      <c r="F26" s="7">
        <f t="shared" ref="F26:X26" si="2">F4*F5</f>
        <v>0</v>
      </c>
      <c r="G26" s="7">
        <f t="shared" si="2"/>
        <v>0</v>
      </c>
      <c r="H26" s="7">
        <f t="shared" si="2"/>
        <v>0</v>
      </c>
      <c r="I26" s="7">
        <f t="shared" si="2"/>
        <v>2.0499999999999998</v>
      </c>
      <c r="J26" s="7">
        <f t="shared" si="2"/>
        <v>2.0549999999999997</v>
      </c>
      <c r="K26" s="7">
        <f t="shared" si="2"/>
        <v>2.72</v>
      </c>
      <c r="L26" s="7">
        <f t="shared" si="2"/>
        <v>3.0649999999999999</v>
      </c>
      <c r="M26" s="7">
        <f t="shared" si="2"/>
        <v>6.7649999999999997</v>
      </c>
      <c r="N26" s="7">
        <f t="shared" si="2"/>
        <v>5.8450000000000006</v>
      </c>
      <c r="O26" s="7">
        <f t="shared" si="2"/>
        <v>12.02</v>
      </c>
      <c r="P26" s="7">
        <f t="shared" si="2"/>
        <v>16.72</v>
      </c>
      <c r="Q26" s="7">
        <f t="shared" si="2"/>
        <v>27.3</v>
      </c>
      <c r="R26" s="7">
        <f t="shared" si="2"/>
        <v>27.9</v>
      </c>
      <c r="S26" s="7">
        <f t="shared" si="2"/>
        <v>27.599999999999998</v>
      </c>
      <c r="T26" s="7">
        <f t="shared" si="2"/>
        <v>20.52</v>
      </c>
      <c r="U26" s="7">
        <f t="shared" si="2"/>
        <v>22.200000000000003</v>
      </c>
      <c r="V26" s="7">
        <f t="shared" si="2"/>
        <v>13.799999999999999</v>
      </c>
      <c r="W26" s="7">
        <f t="shared" si="2"/>
        <v>16.799999999999997</v>
      </c>
      <c r="X26" s="7">
        <f t="shared" si="2"/>
        <v>20.88</v>
      </c>
      <c r="Y26" s="7">
        <f t="shared" si="1"/>
        <v>21.72</v>
      </c>
      <c r="Z26" s="7">
        <f t="shared" si="1"/>
        <v>18</v>
      </c>
      <c r="AA26" s="7">
        <f t="shared" si="1"/>
        <v>9</v>
      </c>
      <c r="AB26" s="7">
        <f t="shared" si="1"/>
        <v>7.8000000000000007</v>
      </c>
      <c r="AC26" s="7">
        <f t="shared" si="1"/>
        <v>4.8480000000000008</v>
      </c>
      <c r="AD26" s="7">
        <f t="shared" si="1"/>
        <v>1.1854615000000002</v>
      </c>
      <c r="AE26" s="7">
        <f t="shared" si="1"/>
        <v>0.88316881749999998</v>
      </c>
      <c r="AF26" s="7">
        <f t="shared" si="1"/>
        <v>0.88316881749999998</v>
      </c>
    </row>
    <row r="27" spans="1:32" x14ac:dyDescent="0.3">
      <c r="A27" s="1" t="s">
        <v>66</v>
      </c>
      <c r="B27" s="2" t="s">
        <v>28</v>
      </c>
      <c r="C27" s="1" t="s">
        <v>47</v>
      </c>
      <c r="D27" s="30" t="e">
        <f t="shared" ref="D27:AC27" si="3">D26/D6</f>
        <v>#DIV/0!</v>
      </c>
      <c r="E27" s="30" t="e">
        <f t="shared" si="3"/>
        <v>#DIV/0!</v>
      </c>
      <c r="F27" s="30" t="e">
        <f t="shared" ref="F27:X27" si="4">F26/F6</f>
        <v>#DIV/0!</v>
      </c>
      <c r="G27" s="30" t="e">
        <f t="shared" si="4"/>
        <v>#DIV/0!</v>
      </c>
      <c r="H27" s="30" t="e">
        <f t="shared" si="4"/>
        <v>#DIV/0!</v>
      </c>
      <c r="I27" s="30">
        <f t="shared" si="4"/>
        <v>7.9033735081592879E-2</v>
      </c>
      <c r="J27" s="30">
        <f t="shared" si="4"/>
        <v>6.9260212046350675E-2</v>
      </c>
      <c r="K27" s="30">
        <f t="shared" si="4"/>
        <v>7.874433956519955E-2</v>
      </c>
      <c r="L27" s="30">
        <f t="shared" si="4"/>
        <v>8.3771324483299131E-2</v>
      </c>
      <c r="M27" s="30">
        <f t="shared" si="4"/>
        <v>0.17126066328634654</v>
      </c>
      <c r="N27" s="30">
        <f t="shared" si="4"/>
        <v>0.13141943171539638</v>
      </c>
      <c r="O27" s="30">
        <f t="shared" si="4"/>
        <v>0.22680930090976759</v>
      </c>
      <c r="P27" s="30">
        <f t="shared" si="4"/>
        <v>0.24673713746906487</v>
      </c>
      <c r="Q27" s="30">
        <f t="shared" si="4"/>
        <v>0.40546817650341621</v>
      </c>
      <c r="R27" s="30">
        <f t="shared" si="4"/>
        <v>0.38098738055089737</v>
      </c>
      <c r="S27" s="30">
        <f t="shared" si="4"/>
        <v>0.3548717377177959</v>
      </c>
      <c r="T27" s="30">
        <f t="shared" si="4"/>
        <v>0.32337443555835377</v>
      </c>
      <c r="U27" s="30">
        <f t="shared" si="4"/>
        <v>0.25928940803352168</v>
      </c>
      <c r="V27" s="30">
        <f t="shared" si="4"/>
        <v>1.6027947164917471</v>
      </c>
      <c r="W27" s="30">
        <f t="shared" si="4"/>
        <v>1.6632042977199049</v>
      </c>
      <c r="X27" s="30">
        <f t="shared" si="4"/>
        <v>1.2458233890214796</v>
      </c>
      <c r="Y27" s="30">
        <f t="shared" si="3"/>
        <v>1.0980788675429727</v>
      </c>
      <c r="Z27" s="30">
        <f t="shared" si="3"/>
        <v>0.62586926286509037</v>
      </c>
      <c r="AA27" s="30">
        <f t="shared" si="3"/>
        <v>0.1103211571463594</v>
      </c>
      <c r="AB27" s="30">
        <f t="shared" si="3"/>
        <v>9.3067653024698729E-2</v>
      </c>
      <c r="AC27" s="30">
        <f t="shared" si="3"/>
        <v>6.5699959344084569E-2</v>
      </c>
      <c r="AD27" s="30"/>
      <c r="AE27" s="30"/>
      <c r="AF27" s="30"/>
    </row>
    <row r="28" spans="1:32" x14ac:dyDescent="0.3">
      <c r="A28" s="6" t="s">
        <v>67</v>
      </c>
      <c r="B28" s="17" t="s">
        <v>29</v>
      </c>
      <c r="C28" s="6" t="s">
        <v>48</v>
      </c>
      <c r="D28" s="29" t="e">
        <f t="shared" ref="D28:AC28" si="5">D26/D7</f>
        <v>#DIV/0!</v>
      </c>
      <c r="E28" s="29" t="e">
        <f t="shared" si="5"/>
        <v>#DIV/0!</v>
      </c>
      <c r="F28" s="29" t="e">
        <f t="shared" ref="F28:X28" si="6">F26/F7</f>
        <v>#DIV/0!</v>
      </c>
      <c r="G28" s="29" t="e">
        <f t="shared" si="6"/>
        <v>#DIV/0!</v>
      </c>
      <c r="H28" s="29" t="e">
        <f t="shared" si="6"/>
        <v>#DIV/0!</v>
      </c>
      <c r="I28" s="29">
        <f t="shared" si="6"/>
        <v>2.7542868274398522</v>
      </c>
      <c r="J28" s="29">
        <f t="shared" si="6"/>
        <v>1.8047697006936991</v>
      </c>
      <c r="K28" s="29">
        <f t="shared" si="6"/>
        <v>3.1759858108163335</v>
      </c>
      <c r="L28" s="29">
        <f t="shared" si="6"/>
        <v>2.7997873440477341</v>
      </c>
      <c r="M28" s="29">
        <f t="shared" si="6"/>
        <v>6.1195745877993861</v>
      </c>
      <c r="N28" s="29">
        <f t="shared" si="6"/>
        <v>3.6818758480282918</v>
      </c>
      <c r="O28" s="29">
        <f t="shared" si="6"/>
        <v>3.8062679289627539</v>
      </c>
      <c r="P28" s="29">
        <f t="shared" si="6"/>
        <v>4.970656183100898</v>
      </c>
      <c r="Q28" s="29">
        <f t="shared" si="6"/>
        <v>6.5272824866794421</v>
      </c>
      <c r="R28" s="29">
        <f t="shared" si="6"/>
        <v>6.3369297870450891</v>
      </c>
      <c r="S28" s="29">
        <f t="shared" si="6"/>
        <v>6.2736783053249194</v>
      </c>
      <c r="T28" s="29">
        <f t="shared" si="6"/>
        <v>7.3064433430182874</v>
      </c>
      <c r="U28" s="29">
        <f t="shared" si="6"/>
        <v>4.8116478289931699</v>
      </c>
      <c r="V28" s="29">
        <f t="shared" si="6"/>
        <v>-3.4834463097429973</v>
      </c>
      <c r="W28" s="29">
        <f t="shared" si="6"/>
        <v>-3.0204859062869072</v>
      </c>
      <c r="X28" s="29">
        <f t="shared" si="6"/>
        <v>-5.5752254922379398</v>
      </c>
      <c r="Y28" s="29">
        <f t="shared" si="5"/>
        <v>-59.308936207395604</v>
      </c>
      <c r="Z28" s="29">
        <f t="shared" si="5"/>
        <v>-3.4478736101477812</v>
      </c>
      <c r="AA28" s="29">
        <f t="shared" si="5"/>
        <v>-3.6432114017944026</v>
      </c>
      <c r="AB28" s="29">
        <f t="shared" si="5"/>
        <v>-0.60253388673753394</v>
      </c>
      <c r="AC28" s="29">
        <f t="shared" si="5"/>
        <v>-1.57562249398063</v>
      </c>
      <c r="AD28" s="29"/>
      <c r="AE28" s="29"/>
      <c r="AF28" s="29"/>
    </row>
    <row r="29" spans="1:32" x14ac:dyDescent="0.3">
      <c r="A29" s="15" t="s">
        <v>68</v>
      </c>
      <c r="B29" s="2" t="s">
        <v>30</v>
      </c>
      <c r="C29" s="1" t="s">
        <v>49</v>
      </c>
      <c r="D29" s="3">
        <f t="shared" ref="D29:AC29" si="7">D15-D14</f>
        <v>0</v>
      </c>
      <c r="E29" s="3">
        <f t="shared" si="7"/>
        <v>0</v>
      </c>
      <c r="F29" s="3">
        <f t="shared" ref="F29:X29" si="8">F15-F14</f>
        <v>0</v>
      </c>
      <c r="G29" s="3">
        <f t="shared" si="8"/>
        <v>0</v>
      </c>
      <c r="H29" s="3">
        <f t="shared" si="8"/>
        <v>0</v>
      </c>
      <c r="I29" s="3">
        <f t="shared" si="8"/>
        <v>-0.22499999999999998</v>
      </c>
      <c r="J29" s="3">
        <f t="shared" si="8"/>
        <v>-1.8499230799999997</v>
      </c>
      <c r="K29" s="3">
        <f t="shared" si="8"/>
        <v>496.36700000000002</v>
      </c>
      <c r="L29" s="3">
        <f t="shared" si="8"/>
        <v>519.30498799999998</v>
      </c>
      <c r="M29" s="3">
        <f t="shared" si="8"/>
        <v>-4.3406589999999996</v>
      </c>
      <c r="N29" s="3">
        <f t="shared" si="8"/>
        <v>-4.1435750000000002</v>
      </c>
      <c r="O29" s="3">
        <f t="shared" si="8"/>
        <v>1.2656710000000011</v>
      </c>
      <c r="P29" s="3">
        <f t="shared" si="8"/>
        <v>9.3066480000000009</v>
      </c>
      <c r="Q29" s="3">
        <f t="shared" si="8"/>
        <v>6.6515029999999982</v>
      </c>
      <c r="R29" s="3">
        <f t="shared" si="8"/>
        <v>11.349449</v>
      </c>
      <c r="S29" s="3">
        <f t="shared" si="8"/>
        <v>4.4830830000000006</v>
      </c>
      <c r="T29" s="3">
        <f t="shared" si="8"/>
        <v>10.648164999999999</v>
      </c>
      <c r="U29" s="3">
        <f t="shared" si="8"/>
        <v>12.382542000000001</v>
      </c>
      <c r="V29" s="3">
        <f t="shared" si="8"/>
        <v>15.424362</v>
      </c>
      <c r="W29" s="3">
        <f t="shared" si="8"/>
        <v>13.420870000000001</v>
      </c>
      <c r="X29" s="3">
        <f t="shared" si="8"/>
        <v>49.800000000000004</v>
      </c>
      <c r="Y29" s="3">
        <f t="shared" si="7"/>
        <v>57.8</v>
      </c>
      <c r="Z29" s="3">
        <f t="shared" si="7"/>
        <v>61.900000000000006</v>
      </c>
      <c r="AA29" s="3">
        <f t="shared" si="7"/>
        <v>56.6</v>
      </c>
      <c r="AB29" s="3">
        <f t="shared" si="7"/>
        <v>32.299999999999997</v>
      </c>
      <c r="AC29" s="3">
        <f t="shared" si="7"/>
        <v>26.6</v>
      </c>
      <c r="AD29" s="3"/>
      <c r="AE29" s="3"/>
      <c r="AF29" s="3"/>
    </row>
    <row r="30" spans="1:32" x14ac:dyDescent="0.3">
      <c r="A30" s="6" t="s">
        <v>69</v>
      </c>
      <c r="B30" s="17" t="s">
        <v>31</v>
      </c>
      <c r="C30" s="6" t="s">
        <v>50</v>
      </c>
      <c r="D30" s="7">
        <f t="shared" ref="D30:AC30" si="9">D26+D29+D16+D17</f>
        <v>0</v>
      </c>
      <c r="E30" s="7">
        <f t="shared" si="9"/>
        <v>0</v>
      </c>
      <c r="F30" s="7">
        <f t="shared" ref="F30:X30" si="10">F26+F29+F16+F17</f>
        <v>0</v>
      </c>
      <c r="G30" s="7">
        <f t="shared" si="10"/>
        <v>0</v>
      </c>
      <c r="H30" s="7">
        <f t="shared" si="10"/>
        <v>0</v>
      </c>
      <c r="I30" s="7">
        <f t="shared" si="10"/>
        <v>1.8249999999999997</v>
      </c>
      <c r="J30" s="7">
        <f t="shared" si="10"/>
        <v>0.20507692</v>
      </c>
      <c r="K30" s="7">
        <f t="shared" si="10"/>
        <v>499.08700000000005</v>
      </c>
      <c r="L30" s="7">
        <f t="shared" si="10"/>
        <v>522.36998800000003</v>
      </c>
      <c r="M30" s="7">
        <f t="shared" si="10"/>
        <v>2.4243410000000001</v>
      </c>
      <c r="N30" s="7">
        <f t="shared" si="10"/>
        <v>1.7014250000000004</v>
      </c>
      <c r="O30" s="7">
        <f t="shared" si="10"/>
        <v>13.285671000000001</v>
      </c>
      <c r="P30" s="7">
        <f t="shared" si="10"/>
        <v>26.026648000000002</v>
      </c>
      <c r="Q30" s="7">
        <f t="shared" si="10"/>
        <v>33.978553000000005</v>
      </c>
      <c r="R30" s="7">
        <f t="shared" si="10"/>
        <v>39.27704</v>
      </c>
      <c r="S30" s="7">
        <f t="shared" si="10"/>
        <v>32.110125000000004</v>
      </c>
      <c r="T30" s="7">
        <f t="shared" si="10"/>
        <v>31.176001999999997</v>
      </c>
      <c r="U30" s="7">
        <f t="shared" si="10"/>
        <v>35.518062</v>
      </c>
      <c r="V30" s="7">
        <f t="shared" si="10"/>
        <v>29.840403999999999</v>
      </c>
      <c r="W30" s="7">
        <f t="shared" si="10"/>
        <v>30.812598999999999</v>
      </c>
      <c r="X30" s="7">
        <f t="shared" si="10"/>
        <v>70.579711000000003</v>
      </c>
      <c r="Y30" s="7">
        <f t="shared" si="9"/>
        <v>79.319999999999993</v>
      </c>
      <c r="Z30" s="7">
        <f t="shared" si="9"/>
        <v>79.600000000000009</v>
      </c>
      <c r="AA30" s="7">
        <f t="shared" si="9"/>
        <v>70.215537999999995</v>
      </c>
      <c r="AB30" s="7">
        <f t="shared" si="9"/>
        <v>42.893289999999993</v>
      </c>
      <c r="AC30" s="7">
        <f t="shared" si="9"/>
        <v>34.247999999999998</v>
      </c>
      <c r="AD30" s="7"/>
      <c r="AE30" s="7"/>
      <c r="AF30" s="7"/>
    </row>
    <row r="31" spans="1:32" x14ac:dyDescent="0.3">
      <c r="A31" s="1" t="s">
        <v>70</v>
      </c>
      <c r="B31" s="2" t="s">
        <v>32</v>
      </c>
      <c r="C31" s="1" t="s">
        <v>51</v>
      </c>
      <c r="D31" s="30" t="e">
        <f t="shared" ref="D31:AC31" si="11">D30/D7</f>
        <v>#DIV/0!</v>
      </c>
      <c r="E31" s="30" t="e">
        <f t="shared" si="11"/>
        <v>#DIV/0!</v>
      </c>
      <c r="F31" s="30" t="e">
        <f t="shared" ref="F31:X31" si="12">F30/F7</f>
        <v>#DIV/0!</v>
      </c>
      <c r="G31" s="30" t="e">
        <f t="shared" si="12"/>
        <v>#DIV/0!</v>
      </c>
      <c r="H31" s="30" t="e">
        <f t="shared" si="12"/>
        <v>#DIV/0!</v>
      </c>
      <c r="I31" s="30">
        <f t="shared" si="12"/>
        <v>2.4519870536964534</v>
      </c>
      <c r="J31" s="30">
        <f t="shared" si="12"/>
        <v>0.18010540706938477</v>
      </c>
      <c r="K31" s="30">
        <f t="shared" si="12"/>
        <v>582.75486410400424</v>
      </c>
      <c r="L31" s="30">
        <f t="shared" si="12"/>
        <v>477.16961869910824</v>
      </c>
      <c r="M31" s="30">
        <f t="shared" si="12"/>
        <v>2.1930429528100741</v>
      </c>
      <c r="N31" s="30">
        <f t="shared" si="12"/>
        <v>1.0717597287821279</v>
      </c>
      <c r="O31" s="30">
        <f t="shared" si="12"/>
        <v>4.2070568587396444</v>
      </c>
      <c r="P31" s="30">
        <f t="shared" si="12"/>
        <v>7.7374114118774306</v>
      </c>
      <c r="Q31" s="30">
        <f t="shared" si="12"/>
        <v>8.1240884219637088</v>
      </c>
      <c r="R31" s="30">
        <f t="shared" si="12"/>
        <v>8.9209980187441378</v>
      </c>
      <c r="S31" s="30">
        <f t="shared" si="12"/>
        <v>7.2988621229627313</v>
      </c>
      <c r="T31" s="30">
        <f t="shared" si="12"/>
        <v>11.10066726485501</v>
      </c>
      <c r="U31" s="30">
        <f t="shared" si="12"/>
        <v>7.6982164825380535</v>
      </c>
      <c r="V31" s="30">
        <f t="shared" si="12"/>
        <v>-7.532423564857984</v>
      </c>
      <c r="W31" s="30">
        <f t="shared" si="12"/>
        <v>-5.5398226794982177</v>
      </c>
      <c r="X31" s="30">
        <f t="shared" si="12"/>
        <v>-18.845680268294377</v>
      </c>
      <c r="Y31" s="30">
        <f t="shared" si="11"/>
        <v>-216.59230294524028</v>
      </c>
      <c r="Z31" s="30">
        <f t="shared" si="11"/>
        <v>-15.247263298209079</v>
      </c>
      <c r="AA31" s="30">
        <f t="shared" si="11"/>
        <v>-28.4233387360809</v>
      </c>
      <c r="AB31" s="30">
        <f t="shared" si="11"/>
        <v>-3.3134180434179732</v>
      </c>
      <c r="AC31" s="30">
        <f t="shared" si="11"/>
        <v>-11.130758905496824</v>
      </c>
      <c r="AD31" s="30"/>
      <c r="AE31" s="30"/>
      <c r="AF31" s="30"/>
    </row>
    <row r="32" spans="1:32" x14ac:dyDescent="0.3">
      <c r="A32" s="18" t="s">
        <v>72</v>
      </c>
      <c r="B32" s="17" t="s">
        <v>33</v>
      </c>
      <c r="C32" s="6" t="s">
        <v>109</v>
      </c>
      <c r="D32" s="27" t="e">
        <f t="shared" ref="D32:AC32" si="13">D7/D6</f>
        <v>#DIV/0!</v>
      </c>
      <c r="E32" s="27" t="e">
        <f t="shared" si="13"/>
        <v>#DIV/0!</v>
      </c>
      <c r="F32" s="27" t="e">
        <f t="shared" ref="F32:X32" si="14">F7/F6</f>
        <v>#DIV/0!</v>
      </c>
      <c r="G32" s="27" t="e">
        <f t="shared" si="14"/>
        <v>#DIV/0!</v>
      </c>
      <c r="H32" s="27" t="e">
        <f t="shared" si="14"/>
        <v>#DIV/0!</v>
      </c>
      <c r="I32" s="27">
        <f t="shared" si="14"/>
        <v>2.869480923127234E-2</v>
      </c>
      <c r="J32" s="27">
        <f t="shared" si="14"/>
        <v>3.8376205019249349E-2</v>
      </c>
      <c r="K32" s="27">
        <f t="shared" si="14"/>
        <v>2.4793668566472485E-2</v>
      </c>
      <c r="L32" s="27">
        <f t="shared" si="14"/>
        <v>2.9920602599120435E-2</v>
      </c>
      <c r="M32" s="27">
        <f t="shared" si="14"/>
        <v>2.7985713848114449E-2</v>
      </c>
      <c r="N32" s="27">
        <f t="shared" si="14"/>
        <v>3.5693607590210785E-2</v>
      </c>
      <c r="O32" s="27">
        <f t="shared" si="14"/>
        <v>5.958836980022459E-2</v>
      </c>
      <c r="P32" s="27">
        <f t="shared" si="14"/>
        <v>4.9638745545892926E-2</v>
      </c>
      <c r="Q32" s="27">
        <f t="shared" si="14"/>
        <v>6.2118987087026761E-2</v>
      </c>
      <c r="R32" s="27">
        <f t="shared" si="14"/>
        <v>6.0121761381950203E-2</v>
      </c>
      <c r="S32" s="27">
        <f t="shared" si="14"/>
        <v>5.6565179221349439E-2</v>
      </c>
      <c r="T32" s="27">
        <f t="shared" si="14"/>
        <v>4.425880286437258E-2</v>
      </c>
      <c r="U32" s="27">
        <f t="shared" si="14"/>
        <v>5.3887860718139384E-2</v>
      </c>
      <c r="V32" s="27">
        <f t="shared" si="14"/>
        <v>-0.46011753131053668</v>
      </c>
      <c r="W32" s="27">
        <f t="shared" si="14"/>
        <v>-0.55064130385712917</v>
      </c>
      <c r="X32" s="27">
        <f t="shared" si="14"/>
        <v>-0.22345704057279234</v>
      </c>
      <c r="Y32" s="27">
        <f t="shared" si="13"/>
        <v>-1.8514560161779572E-2</v>
      </c>
      <c r="Z32" s="27">
        <f t="shared" si="13"/>
        <v>-0.18152326147426984</v>
      </c>
      <c r="AA32" s="27">
        <f t="shared" si="13"/>
        <v>-3.0281294434910525E-2</v>
      </c>
      <c r="AB32" s="27">
        <f t="shared" si="13"/>
        <v>-0.15446044624746449</v>
      </c>
      <c r="AC32" s="27">
        <f t="shared" si="13"/>
        <v>-4.1697779509418616E-2</v>
      </c>
      <c r="AD32" s="27"/>
      <c r="AE32" s="27"/>
      <c r="AF32" s="27"/>
    </row>
    <row r="33" spans="1:32" x14ac:dyDescent="0.3">
      <c r="A33" s="16" t="s">
        <v>73</v>
      </c>
      <c r="B33" s="2" t="s">
        <v>34</v>
      </c>
      <c r="C33" s="1" t="s">
        <v>110</v>
      </c>
      <c r="D33" s="28" t="e">
        <f t="shared" ref="D33:AC33" si="15">D8/D6</f>
        <v>#DIV/0!</v>
      </c>
      <c r="E33" s="28" t="e">
        <f t="shared" si="15"/>
        <v>#DIV/0!</v>
      </c>
      <c r="F33" s="28" t="e">
        <f t="shared" ref="F33:X33" si="16">F8/F6</f>
        <v>#DIV/0!</v>
      </c>
      <c r="G33" s="28" t="e">
        <f t="shared" si="16"/>
        <v>#DIV/0!</v>
      </c>
      <c r="H33" s="28" t="e">
        <f t="shared" si="16"/>
        <v>#DIV/0!</v>
      </c>
      <c r="I33" s="28">
        <f t="shared" si="16"/>
        <v>7.4973926322617485E-3</v>
      </c>
      <c r="J33" s="28">
        <f t="shared" si="16"/>
        <v>2.7306894522603889E-2</v>
      </c>
      <c r="K33" s="28">
        <f t="shared" si="16"/>
        <v>1.4057196318130766E-2</v>
      </c>
      <c r="L33" s="28">
        <f t="shared" si="16"/>
        <v>1.9887230437564105E-2</v>
      </c>
      <c r="M33" s="28">
        <f t="shared" si="16"/>
        <v>1.761250737003113E-2</v>
      </c>
      <c r="N33" s="28">
        <f t="shared" si="16"/>
        <v>2.3597578725691987E-2</v>
      </c>
      <c r="O33" s="28">
        <f t="shared" si="16"/>
        <v>4.5024797408064074E-2</v>
      </c>
      <c r="P33" s="28">
        <f t="shared" si="16"/>
        <v>2.9972733185188734E-2</v>
      </c>
      <c r="Q33" s="28">
        <f t="shared" si="16"/>
        <v>3.9933387371003007E-2</v>
      </c>
      <c r="R33" s="28">
        <f t="shared" si="16"/>
        <v>3.7825027981406502E-2</v>
      </c>
      <c r="S33" s="28">
        <f t="shared" si="16"/>
        <v>3.8469883584969326E-2</v>
      </c>
      <c r="T33" s="28">
        <f t="shared" si="16"/>
        <v>2.5370000947587953E-2</v>
      </c>
      <c r="U33" s="28">
        <f t="shared" si="16"/>
        <v>3.9546703716242082E-2</v>
      </c>
      <c r="V33" s="28">
        <f t="shared" si="16"/>
        <v>-0.49833048024259347</v>
      </c>
      <c r="W33" s="28">
        <f t="shared" si="16"/>
        <v>-0.5865579036656231</v>
      </c>
      <c r="X33" s="28">
        <f t="shared" si="16"/>
        <v>-0.24642004773269688</v>
      </c>
      <c r="Y33" s="28">
        <f t="shared" si="15"/>
        <v>-3.4883720930232551E-2</v>
      </c>
      <c r="Z33" s="28">
        <f t="shared" si="15"/>
        <v>-0.19054242002781641</v>
      </c>
      <c r="AA33" s="28">
        <f t="shared" si="15"/>
        <v>-5.4425104192203977E-2</v>
      </c>
      <c r="AB33" s="28">
        <f t="shared" si="15"/>
        <v>-0.17658990573917194</v>
      </c>
      <c r="AC33" s="28">
        <f t="shared" si="15"/>
        <v>-5.5427564710665393E-2</v>
      </c>
      <c r="AD33" s="28"/>
      <c r="AE33" s="28"/>
      <c r="AF33" s="28"/>
    </row>
    <row r="34" spans="1:32" x14ac:dyDescent="0.3">
      <c r="A34" s="18" t="s">
        <v>74</v>
      </c>
      <c r="B34" s="17" t="s">
        <v>35</v>
      </c>
      <c r="C34" s="6" t="s">
        <v>54</v>
      </c>
      <c r="D34" s="27" t="e">
        <f t="shared" ref="D34:AC34" si="17">D11/D10</f>
        <v>#DIV/0!</v>
      </c>
      <c r="E34" s="27" t="e">
        <f t="shared" si="17"/>
        <v>#DIV/0!</v>
      </c>
      <c r="F34" s="27" t="e">
        <f t="shared" ref="F34:X34" si="18">F11/F10</f>
        <v>#DIV/0!</v>
      </c>
      <c r="G34" s="27" t="e">
        <f t="shared" si="18"/>
        <v>#DIV/0!</v>
      </c>
      <c r="H34" s="27" t="e">
        <f t="shared" si="18"/>
        <v>#DIV/0!</v>
      </c>
      <c r="I34" s="27">
        <f t="shared" si="18"/>
        <v>2.2509637300340894E-2</v>
      </c>
      <c r="J34" s="27">
        <f t="shared" si="18"/>
        <v>2.7401104592219963E-2</v>
      </c>
      <c r="K34" s="27">
        <f t="shared" si="18"/>
        <v>0.44196261637439238</v>
      </c>
      <c r="L34" s="27">
        <f t="shared" si="18"/>
        <v>0.33130136591894238</v>
      </c>
      <c r="M34" s="27">
        <f t="shared" si="18"/>
        <v>0.26671198411678643</v>
      </c>
      <c r="N34" s="27">
        <f t="shared" si="18"/>
        <v>0.29496728827996155</v>
      </c>
      <c r="O34" s="27">
        <f t="shared" si="18"/>
        <v>0.16453161595110311</v>
      </c>
      <c r="P34" s="27">
        <f t="shared" si="18"/>
        <v>0.25748485471231436</v>
      </c>
      <c r="Q34" s="27">
        <f t="shared" si="18"/>
        <v>-5.7291706846959223E-2</v>
      </c>
      <c r="R34" s="27">
        <f t="shared" si="18"/>
        <v>4.6828600537901797E-2</v>
      </c>
      <c r="S34" s="27">
        <f t="shared" si="18"/>
        <v>0.13300667217953072</v>
      </c>
      <c r="T34" s="27">
        <f t="shared" si="18"/>
        <v>-0.30263201367217418</v>
      </c>
      <c r="U34" s="27">
        <f t="shared" si="18"/>
        <v>-4.238319280005988E-3</v>
      </c>
      <c r="V34" s="27">
        <f t="shared" si="18"/>
        <v>-7.5509456495226071E-2</v>
      </c>
      <c r="W34" s="27">
        <f t="shared" si="18"/>
        <v>-5.0268420830900898E-2</v>
      </c>
      <c r="X34" s="27">
        <f t="shared" si="18"/>
        <v>0.43816581112719205</v>
      </c>
      <c r="Y34" s="27">
        <f t="shared" si="17"/>
        <v>-2.264368027123457</v>
      </c>
      <c r="Z34" s="27">
        <f t="shared" si="17"/>
        <v>0.23560209424083772</v>
      </c>
      <c r="AA34" s="27">
        <f t="shared" si="17"/>
        <v>-3.4333747899714717E-2</v>
      </c>
      <c r="AB34" s="27">
        <f t="shared" si="17"/>
        <v>5.0171224983764903E-2</v>
      </c>
      <c r="AC34" s="27">
        <f t="shared" si="17"/>
        <v>0.30555555555555558</v>
      </c>
      <c r="AD34" s="27"/>
      <c r="AE34" s="27"/>
      <c r="AF34" s="27"/>
    </row>
    <row r="35" spans="1:32" x14ac:dyDescent="0.3">
      <c r="A35" s="16" t="s">
        <v>75</v>
      </c>
      <c r="B35" s="2" t="s">
        <v>36</v>
      </c>
      <c r="C35" s="1" t="s">
        <v>108</v>
      </c>
      <c r="D35" s="28" t="e">
        <f t="shared" ref="D35:AC35" si="19">D12/D6</f>
        <v>#DIV/0!</v>
      </c>
      <c r="E35" s="28" t="e">
        <f t="shared" si="19"/>
        <v>#DIV/0!</v>
      </c>
      <c r="F35" s="28" t="e">
        <f t="shared" ref="F35:X35" si="20">F12/F6</f>
        <v>#DIV/0!</v>
      </c>
      <c r="G35" s="28" t="e">
        <f t="shared" si="20"/>
        <v>#DIV/0!</v>
      </c>
      <c r="H35" s="28" t="e">
        <f t="shared" si="20"/>
        <v>#DIV/0!</v>
      </c>
      <c r="I35" s="28">
        <f t="shared" si="20"/>
        <v>2.2635750772699668E-2</v>
      </c>
      <c r="J35" s="28">
        <f t="shared" si="20"/>
        <v>2.8426388784926485E-2</v>
      </c>
      <c r="K35" s="28">
        <f t="shared" si="20"/>
        <v>1.3479525527070475E-2</v>
      </c>
      <c r="L35" s="28">
        <f t="shared" si="20"/>
        <v>1.8408810051283316E-2</v>
      </c>
      <c r="M35" s="28">
        <f t="shared" si="20"/>
        <v>2.2393477259799011E-2</v>
      </c>
      <c r="N35" s="28">
        <f t="shared" si="20"/>
        <v>1.7493961170313311E-2</v>
      </c>
      <c r="O35" s="28">
        <f t="shared" si="20"/>
        <v>2.8039535691547501E-2</v>
      </c>
      <c r="P35" s="28">
        <f t="shared" si="20"/>
        <v>1.9145340924022317E-2</v>
      </c>
      <c r="Q35" s="28">
        <f t="shared" si="20"/>
        <v>2.0054158963575812E-2</v>
      </c>
      <c r="R35" s="28">
        <f t="shared" si="20"/>
        <v>1.979509378926116E-2</v>
      </c>
      <c r="S35" s="28">
        <f t="shared" si="20"/>
        <v>2.921826166362148E-2</v>
      </c>
      <c r="T35" s="28">
        <f t="shared" si="20"/>
        <v>2.0503877569934409E-2</v>
      </c>
      <c r="U35" s="28">
        <f t="shared" si="20"/>
        <v>3.617309156425854E-2</v>
      </c>
      <c r="V35" s="28">
        <f t="shared" si="20"/>
        <v>0.66626771015571373</v>
      </c>
      <c r="W35" s="28">
        <f t="shared" si="20"/>
        <v>0.89701757769342083</v>
      </c>
      <c r="X35" s="28">
        <f t="shared" si="20"/>
        <v>0.18370381861575177</v>
      </c>
      <c r="Y35" s="28">
        <f t="shared" si="19"/>
        <v>7.6845298281092003E-2</v>
      </c>
      <c r="Z35" s="28">
        <f t="shared" si="19"/>
        <v>0.10605006954102919</v>
      </c>
      <c r="AA35" s="28">
        <f t="shared" si="19"/>
        <v>-0.1567786222113263</v>
      </c>
      <c r="AB35" s="28">
        <f t="shared" si="19"/>
        <v>-2.434077079107505E-2</v>
      </c>
      <c r="AC35" s="28">
        <f t="shared" si="19"/>
        <v>-0.14595473641414825</v>
      </c>
      <c r="AD35" s="28"/>
      <c r="AE35" s="28"/>
      <c r="AF35" s="28"/>
    </row>
    <row r="36" spans="1:32" x14ac:dyDescent="0.3">
      <c r="A36" s="18" t="s">
        <v>76</v>
      </c>
      <c r="B36" s="17" t="s">
        <v>37</v>
      </c>
      <c r="C36" s="6" t="s">
        <v>56</v>
      </c>
      <c r="D36" s="29" t="e">
        <f t="shared" ref="D36:E36" si="21">D26/D12</f>
        <v>#DIV/0!</v>
      </c>
      <c r="E36" s="29" t="e">
        <f t="shared" si="21"/>
        <v>#DIV/0!</v>
      </c>
      <c r="F36" s="29" t="e">
        <f t="shared" ref="F36:H36" si="22">F26/F12</f>
        <v>#DIV/0!</v>
      </c>
      <c r="G36" s="29" t="e">
        <f t="shared" si="22"/>
        <v>#DIV/0!</v>
      </c>
      <c r="H36" s="29" t="e">
        <f t="shared" si="22"/>
        <v>#DIV/0!</v>
      </c>
      <c r="I36" s="29">
        <f t="shared" ref="I36:AC36" si="23">IF(I26/I12&lt;0,0,I26/I12)</f>
        <v>3.4915446752891981</v>
      </c>
      <c r="J36" s="29">
        <f t="shared" si="23"/>
        <v>2.4364759298260545</v>
      </c>
      <c r="K36" s="29">
        <f t="shared" si="23"/>
        <v>5.8417738374440527</v>
      </c>
      <c r="L36" s="29">
        <f t="shared" si="23"/>
        <v>4.5506105093120484</v>
      </c>
      <c r="M36" s="29">
        <f t="shared" si="23"/>
        <v>7.6477923146752813</v>
      </c>
      <c r="N36" s="29">
        <f t="shared" si="23"/>
        <v>7.5122741176773014</v>
      </c>
      <c r="O36" s="29">
        <f t="shared" si="23"/>
        <v>8.0889107225173884</v>
      </c>
      <c r="P36" s="29">
        <f t="shared" si="23"/>
        <v>12.887581289266848</v>
      </c>
      <c r="Q36" s="29">
        <f t="shared" si="23"/>
        <v>20.218657747745212</v>
      </c>
      <c r="R36" s="29">
        <f t="shared" si="23"/>
        <v>19.246555970226474</v>
      </c>
      <c r="S36" s="29">
        <f t="shared" si="23"/>
        <v>12.145545885080251</v>
      </c>
      <c r="T36" s="29">
        <f t="shared" si="23"/>
        <v>15.771379557617415</v>
      </c>
      <c r="U36" s="29">
        <f t="shared" si="23"/>
        <v>7.1680190113945681</v>
      </c>
      <c r="V36" s="29">
        <f t="shared" si="23"/>
        <v>2.4056316883751685</v>
      </c>
      <c r="W36" s="29">
        <f t="shared" si="23"/>
        <v>1.8541490591484802</v>
      </c>
      <c r="X36" s="29">
        <f t="shared" si="23"/>
        <v>6.781695657766015</v>
      </c>
      <c r="Y36" s="29">
        <f t="shared" si="23"/>
        <v>14.289473684210526</v>
      </c>
      <c r="Z36" s="29">
        <f t="shared" si="23"/>
        <v>5.9016393442622954</v>
      </c>
      <c r="AA36" s="29">
        <f t="shared" si="23"/>
        <v>0</v>
      </c>
      <c r="AB36" s="29">
        <f t="shared" si="23"/>
        <v>0</v>
      </c>
      <c r="AC36" s="29">
        <f t="shared" si="23"/>
        <v>0</v>
      </c>
      <c r="AD36" s="29"/>
      <c r="AE36" s="29"/>
      <c r="AF36" s="29"/>
    </row>
    <row r="37" spans="1:32" x14ac:dyDescent="0.3">
      <c r="A37" s="16" t="s">
        <v>77</v>
      </c>
      <c r="B37" s="2" t="s">
        <v>38</v>
      </c>
      <c r="C37" s="1" t="s">
        <v>57</v>
      </c>
      <c r="D37" s="30" t="e">
        <f t="shared" ref="D37:AC37" si="24">D26/D23</f>
        <v>#DIV/0!</v>
      </c>
      <c r="E37" s="30" t="e">
        <f t="shared" si="24"/>
        <v>#DIV/0!</v>
      </c>
      <c r="F37" s="30" t="e">
        <f t="shared" ref="F37:X37" si="25">F26/F23</f>
        <v>#DIV/0!</v>
      </c>
      <c r="G37" s="30" t="e">
        <f t="shared" si="25"/>
        <v>#DIV/0!</v>
      </c>
      <c r="H37" s="30" t="e">
        <f t="shared" si="25"/>
        <v>#DIV/0!</v>
      </c>
      <c r="I37" s="30">
        <f t="shared" si="25"/>
        <v>0.8353744655691856</v>
      </c>
      <c r="J37" s="30">
        <f t="shared" si="25"/>
        <v>0.64848123533081403</v>
      </c>
      <c r="K37" s="30">
        <f t="shared" si="25"/>
        <v>0.45460448323587477</v>
      </c>
      <c r="L37" s="30">
        <f t="shared" si="25"/>
        <v>0.47409052731550294</v>
      </c>
      <c r="M37" s="30">
        <f t="shared" si="25"/>
        <v>1.0792046907516224</v>
      </c>
      <c r="N37" s="30">
        <f t="shared" si="25"/>
        <v>0.89119031311960228</v>
      </c>
      <c r="O37" s="30">
        <f t="shared" si="25"/>
        <v>1.601589971115418</v>
      </c>
      <c r="P37" s="30">
        <f t="shared" si="25"/>
        <v>1.7892860930413785</v>
      </c>
      <c r="Q37" s="30">
        <f t="shared" si="25"/>
        <v>1.3805922710500118</v>
      </c>
      <c r="R37" s="30">
        <f t="shared" si="25"/>
        <v>1.3172182616495915</v>
      </c>
      <c r="S37" s="30">
        <f t="shared" si="25"/>
        <v>0.97329970888464634</v>
      </c>
      <c r="T37" s="30">
        <f t="shared" si="25"/>
        <v>0.76643948259956407</v>
      </c>
      <c r="U37" s="30">
        <f t="shared" si="25"/>
        <v>0.82050111477273091</v>
      </c>
      <c r="V37" s="30">
        <f t="shared" si="25"/>
        <v>0.52164817234892724</v>
      </c>
      <c r="W37" s="30">
        <f t="shared" si="25"/>
        <v>0.47999193613547286</v>
      </c>
      <c r="X37" s="30">
        <f t="shared" si="25"/>
        <v>0.78558100675817877</v>
      </c>
      <c r="Y37" s="30">
        <f t="shared" si="24"/>
        <v>0.92974855053185512</v>
      </c>
      <c r="Z37" s="30">
        <f t="shared" si="24"/>
        <v>0.77586206896551724</v>
      </c>
      <c r="AA37" s="30">
        <f t="shared" si="24"/>
        <v>0.70866141732283472</v>
      </c>
      <c r="AB37" s="30">
        <f t="shared" si="24"/>
        <v>0.66101694915254239</v>
      </c>
      <c r="AC37" s="30">
        <f t="shared" si="24"/>
        <v>-2.5515789473684216</v>
      </c>
      <c r="AD37" s="30"/>
      <c r="AE37" s="30"/>
      <c r="AF37" s="30"/>
    </row>
    <row r="38" spans="1:32" x14ac:dyDescent="0.3">
      <c r="A38" s="18" t="s">
        <v>78</v>
      </c>
      <c r="B38" s="17" t="s">
        <v>39</v>
      </c>
      <c r="C38" s="6" t="s">
        <v>106</v>
      </c>
      <c r="D38" s="55" t="e">
        <f t="shared" ref="D38:AC38" si="26">D8/D23</f>
        <v>#DIV/0!</v>
      </c>
      <c r="E38" s="55" t="e">
        <f t="shared" si="26"/>
        <v>#DIV/0!</v>
      </c>
      <c r="F38" s="55" t="e">
        <f t="shared" ref="F38:X38" si="27">F8/F23</f>
        <v>#DIV/0!</v>
      </c>
      <c r="G38" s="55" t="e">
        <f t="shared" si="27"/>
        <v>#DIV/0!</v>
      </c>
      <c r="H38" s="55" t="e">
        <f t="shared" si="27"/>
        <v>#DIV/0!</v>
      </c>
      <c r="I38" s="55">
        <f t="shared" si="27"/>
        <v>7.9246290927185395E-2</v>
      </c>
      <c r="J38" s="55">
        <f t="shared" si="27"/>
        <v>0.25567361360683916</v>
      </c>
      <c r="K38" s="55">
        <f t="shared" si="27"/>
        <v>8.1154588421658361E-2</v>
      </c>
      <c r="L38" s="55">
        <f t="shared" si="27"/>
        <v>0.11254862714829521</v>
      </c>
      <c r="M38" s="55">
        <f t="shared" si="27"/>
        <v>0.110985793263306</v>
      </c>
      <c r="N38" s="55">
        <f t="shared" si="27"/>
        <v>0.16002149224748285</v>
      </c>
      <c r="O38" s="55">
        <f t="shared" si="27"/>
        <v>0.3179378609739959</v>
      </c>
      <c r="P38" s="55">
        <f t="shared" si="27"/>
        <v>0.21735598949072657</v>
      </c>
      <c r="Q38" s="55">
        <f t="shared" si="27"/>
        <v>0.13597053765522435</v>
      </c>
      <c r="R38" s="55">
        <f t="shared" si="27"/>
        <v>0.13077550635003068</v>
      </c>
      <c r="S38" s="55">
        <f t="shared" si="27"/>
        <v>0.10551059020612231</v>
      </c>
      <c r="T38" s="55">
        <f t="shared" si="27"/>
        <v>6.0130202828946058E-2</v>
      </c>
      <c r="U38" s="55">
        <f t="shared" si="27"/>
        <v>0.12514246043004015</v>
      </c>
      <c r="V38" s="55">
        <f t="shared" si="27"/>
        <v>-0.16218744769343055</v>
      </c>
      <c r="W38" s="55">
        <f t="shared" si="27"/>
        <v>-0.16927749899515973</v>
      </c>
      <c r="X38" s="55">
        <f t="shared" si="27"/>
        <v>-0.15538551522563596</v>
      </c>
      <c r="Y38" s="55">
        <f t="shared" si="26"/>
        <v>-2.9536210859437383E-2</v>
      </c>
      <c r="Z38" s="55">
        <f t="shared" si="26"/>
        <v>-0.23620689655172417</v>
      </c>
      <c r="AA38" s="55">
        <f t="shared" si="26"/>
        <v>-0.34960629921259845</v>
      </c>
      <c r="AB38" s="55">
        <f t="shared" si="26"/>
        <v>-1.2542372881355932</v>
      </c>
      <c r="AC38" s="55">
        <f t="shared" si="26"/>
        <v>2.1526315789473682</v>
      </c>
      <c r="AD38" s="55"/>
      <c r="AE38" s="55"/>
      <c r="AF38" s="55"/>
    </row>
    <row r="39" spans="1:32" x14ac:dyDescent="0.3">
      <c r="A39" s="16" t="s">
        <v>79</v>
      </c>
      <c r="B39" s="2" t="s">
        <v>40</v>
      </c>
      <c r="C39" s="1" t="s">
        <v>107</v>
      </c>
      <c r="D39" s="56" t="e">
        <f t="shared" ref="D39:AC39" si="28">D12/D23</f>
        <v>#DIV/0!</v>
      </c>
      <c r="E39" s="56" t="e">
        <f t="shared" si="28"/>
        <v>#DIV/0!</v>
      </c>
      <c r="F39" s="56" t="e">
        <f t="shared" ref="F39:X39" si="29">F12/F23</f>
        <v>#DIV/0!</v>
      </c>
      <c r="G39" s="56" t="e">
        <f t="shared" si="29"/>
        <v>#DIV/0!</v>
      </c>
      <c r="H39" s="56" t="e">
        <f t="shared" si="29"/>
        <v>#DIV/0!</v>
      </c>
      <c r="I39" s="56">
        <f t="shared" si="29"/>
        <v>0.2392564160732078</v>
      </c>
      <c r="J39" s="56">
        <f t="shared" si="29"/>
        <v>0.26615540395554432</v>
      </c>
      <c r="K39" s="56">
        <f t="shared" si="29"/>
        <v>7.781959656191989E-2</v>
      </c>
      <c r="L39" s="56">
        <f t="shared" si="29"/>
        <v>0.10418174140488569</v>
      </c>
      <c r="M39" s="56">
        <f t="shared" si="29"/>
        <v>0.14111323194286357</v>
      </c>
      <c r="N39" s="56">
        <f t="shared" si="29"/>
        <v>0.11863122926019463</v>
      </c>
      <c r="O39" s="56">
        <f t="shared" si="29"/>
        <v>0.1979982257261185</v>
      </c>
      <c r="P39" s="56">
        <f t="shared" si="29"/>
        <v>0.13883800636288113</v>
      </c>
      <c r="Q39" s="56">
        <f t="shared" si="29"/>
        <v>6.8283082303224399E-2</v>
      </c>
      <c r="R39" s="56">
        <f t="shared" si="29"/>
        <v>6.8439167178131338E-2</v>
      </c>
      <c r="S39" s="56">
        <f t="shared" si="29"/>
        <v>8.0136349415159722E-2</v>
      </c>
      <c r="T39" s="56">
        <f t="shared" si="29"/>
        <v>4.8596857351605724E-2</v>
      </c>
      <c r="U39" s="56">
        <f t="shared" si="29"/>
        <v>0.1144669278176341</v>
      </c>
      <c r="V39" s="56">
        <f t="shared" si="29"/>
        <v>0.21684457137379295</v>
      </c>
      <c r="W39" s="56">
        <f t="shared" si="29"/>
        <v>0.25887451376531162</v>
      </c>
      <c r="X39" s="56">
        <f t="shared" si="29"/>
        <v>0.11583843427986565</v>
      </c>
      <c r="Y39" s="56">
        <f t="shared" si="28"/>
        <v>6.5065276096151925E-2</v>
      </c>
      <c r="Z39" s="56">
        <f t="shared" si="28"/>
        <v>0.13146551724137931</v>
      </c>
      <c r="AA39" s="56">
        <f t="shared" si="28"/>
        <v>-1.0070866141732284</v>
      </c>
      <c r="AB39" s="56">
        <f t="shared" si="28"/>
        <v>-0.17288135593220338</v>
      </c>
      <c r="AC39" s="56">
        <f t="shared" si="28"/>
        <v>5.6684210526315786</v>
      </c>
      <c r="AD39" s="56"/>
      <c r="AE39" s="56"/>
      <c r="AF39" s="56"/>
    </row>
    <row r="40" spans="1:32" x14ac:dyDescent="0.3">
      <c r="A40" s="18" t="s">
        <v>80</v>
      </c>
      <c r="B40" s="17" t="s">
        <v>41</v>
      </c>
      <c r="C40" s="6" t="s">
        <v>61</v>
      </c>
      <c r="D40" s="7">
        <f t="shared" ref="D40:AC40" si="30">D20-D19</f>
        <v>0</v>
      </c>
      <c r="E40" s="7">
        <f t="shared" si="30"/>
        <v>0</v>
      </c>
      <c r="F40" s="7">
        <f t="shared" ref="F40:X40" si="31">F20-F19</f>
        <v>0</v>
      </c>
      <c r="G40" s="7">
        <f t="shared" si="31"/>
        <v>0</v>
      </c>
      <c r="H40" s="7">
        <f t="shared" si="31"/>
        <v>0</v>
      </c>
      <c r="I40" s="7">
        <f t="shared" si="31"/>
        <v>-0.46331970999999861</v>
      </c>
      <c r="J40" s="7">
        <f t="shared" si="31"/>
        <v>-8.0192200000000824E-2</v>
      </c>
      <c r="K40" s="7">
        <f t="shared" si="31"/>
        <v>2.3336649999999999</v>
      </c>
      <c r="L40" s="7">
        <f t="shared" si="31"/>
        <v>3.0595869999999969</v>
      </c>
      <c r="M40" s="7">
        <f t="shared" si="31"/>
        <v>3.5844700000000014</v>
      </c>
      <c r="N40" s="7">
        <f t="shared" si="31"/>
        <v>2.8837360000000007</v>
      </c>
      <c r="O40" s="7">
        <f t="shared" si="31"/>
        <v>3.344536999999999</v>
      </c>
      <c r="P40" s="7">
        <f t="shared" si="31"/>
        <v>-2.7176620000000042</v>
      </c>
      <c r="Q40" s="7">
        <f t="shared" si="31"/>
        <v>0.32186799999999494</v>
      </c>
      <c r="R40" s="7">
        <f t="shared" si="31"/>
        <v>0.34715700000000282</v>
      </c>
      <c r="S40" s="7">
        <f t="shared" si="31"/>
        <v>12.930058000000002</v>
      </c>
      <c r="T40" s="7">
        <f t="shared" si="31"/>
        <v>6.7482040000000012</v>
      </c>
      <c r="U40" s="7">
        <f t="shared" si="31"/>
        <v>18.734490000000001</v>
      </c>
      <c r="V40" s="7">
        <f t="shared" si="31"/>
        <v>23.987813999999993</v>
      </c>
      <c r="W40" s="7">
        <f t="shared" si="31"/>
        <v>1.4920189999999991</v>
      </c>
      <c r="X40" s="7">
        <f t="shared" si="31"/>
        <v>10.6</v>
      </c>
      <c r="Y40" s="7">
        <f t="shared" si="30"/>
        <v>10.200000000000001</v>
      </c>
      <c r="Z40" s="7">
        <f t="shared" si="30"/>
        <v>45.1</v>
      </c>
      <c r="AA40" s="7">
        <f t="shared" si="30"/>
        <v>-20.000000000000004</v>
      </c>
      <c r="AB40" s="7">
        <f t="shared" si="30"/>
        <v>-19.899999999999999</v>
      </c>
      <c r="AC40" s="7">
        <f t="shared" si="30"/>
        <v>-20.200000000000003</v>
      </c>
      <c r="AD40" s="7"/>
      <c r="AE40" s="7"/>
      <c r="AF40" s="7"/>
    </row>
    <row r="41" spans="1:32" x14ac:dyDescent="0.3">
      <c r="A41" s="53" t="s">
        <v>96</v>
      </c>
      <c r="B41" s="49" t="s">
        <v>42</v>
      </c>
      <c r="C41" s="52" t="s">
        <v>98</v>
      </c>
      <c r="D41" s="29" t="e">
        <f t="shared" ref="D41:X41" si="32">D20/D19</f>
        <v>#DIV/0!</v>
      </c>
      <c r="E41" s="29" t="e">
        <f t="shared" si="32"/>
        <v>#DIV/0!</v>
      </c>
      <c r="F41" s="29" t="e">
        <f t="shared" si="32"/>
        <v>#DIV/0!</v>
      </c>
      <c r="G41" s="29" t="e">
        <f t="shared" si="32"/>
        <v>#DIV/0!</v>
      </c>
      <c r="H41" s="29" t="e">
        <f t="shared" si="32"/>
        <v>#DIV/0!</v>
      </c>
      <c r="I41" s="29">
        <f t="shared" si="32"/>
        <v>0.94992996031132049</v>
      </c>
      <c r="J41" s="29">
        <f t="shared" si="32"/>
        <v>0.99177641879747858</v>
      </c>
      <c r="K41" s="29">
        <f t="shared" si="32"/>
        <v>1.2114969344402235</v>
      </c>
      <c r="L41" s="29">
        <f t="shared" si="32"/>
        <v>1.2397583880920851</v>
      </c>
      <c r="M41" s="29">
        <f t="shared" si="32"/>
        <v>1.2806593219881135</v>
      </c>
      <c r="N41" s="29">
        <f t="shared" si="32"/>
        <v>1.2018607892639428</v>
      </c>
      <c r="O41" s="29">
        <f t="shared" si="32"/>
        <v>1.1706657912944518</v>
      </c>
      <c r="P41" s="29">
        <f t="shared" si="32"/>
        <v>0.93656834696882796</v>
      </c>
      <c r="Q41" s="29">
        <f t="shared" si="32"/>
        <v>1.0088359039429946</v>
      </c>
      <c r="R41" s="29">
        <f t="shared" si="32"/>
        <v>1.0085938080577821</v>
      </c>
      <c r="S41" s="29">
        <f t="shared" si="32"/>
        <v>1.39485259879638</v>
      </c>
      <c r="T41" s="29">
        <f t="shared" si="32"/>
        <v>1.1727849898934848</v>
      </c>
      <c r="U41" s="29">
        <f t="shared" si="32"/>
        <v>1.4043108500671184</v>
      </c>
      <c r="V41" s="29">
        <f t="shared" si="32"/>
        <v>1.491643431545274</v>
      </c>
      <c r="W41" s="29">
        <f t="shared" si="32"/>
        <v>1.0533532482881942</v>
      </c>
      <c r="X41" s="29">
        <f t="shared" si="32"/>
        <v>22.2</v>
      </c>
      <c r="Y41" s="29">
        <f t="shared" ref="Y41:AC41" si="33">Y20/Y19</f>
        <v>52</v>
      </c>
      <c r="Z41" s="29">
        <f t="shared" si="33"/>
        <v>51.111111111111107</v>
      </c>
      <c r="AA41" s="29">
        <f t="shared" si="33"/>
        <v>0.60552268244575935</v>
      </c>
      <c r="AB41" s="29">
        <f t="shared" si="33"/>
        <v>0.53613053613053618</v>
      </c>
      <c r="AC41" s="29">
        <f t="shared" si="33"/>
        <v>0.5155875299760192</v>
      </c>
      <c r="AD41" s="29"/>
      <c r="AE41" s="29"/>
      <c r="AF41" s="29"/>
    </row>
    <row r="42" spans="1:32" x14ac:dyDescent="0.3">
      <c r="A42" s="16" t="s">
        <v>81</v>
      </c>
      <c r="B42" s="17" t="s">
        <v>43</v>
      </c>
      <c r="C42" s="1" t="s">
        <v>60</v>
      </c>
      <c r="D42" s="30" t="e">
        <f t="shared" ref="D42:AC42" si="34">(D20-D21)/D19</f>
        <v>#DIV/0!</v>
      </c>
      <c r="E42" s="30" t="e">
        <f t="shared" si="34"/>
        <v>#DIV/0!</v>
      </c>
      <c r="F42" s="30" t="e">
        <f t="shared" ref="F42:X42" si="35">(F20-F21)/F19</f>
        <v>#DIV/0!</v>
      </c>
      <c r="G42" s="30" t="e">
        <f t="shared" si="35"/>
        <v>#DIV/0!</v>
      </c>
      <c r="H42" s="30" t="e">
        <f t="shared" si="35"/>
        <v>#DIV/0!</v>
      </c>
      <c r="I42" s="30">
        <f t="shared" si="35"/>
        <v>0.92687639014974998</v>
      </c>
      <c r="J42" s="30">
        <f t="shared" si="35"/>
        <v>0.96193240771592081</v>
      </c>
      <c r="K42" s="30">
        <f t="shared" si="35"/>
        <v>1.1928033230267399</v>
      </c>
      <c r="L42" s="30">
        <f t="shared" si="35"/>
        <v>1.2221432497414411</v>
      </c>
      <c r="M42" s="30">
        <f t="shared" si="35"/>
        <v>1.2624855685718437</v>
      </c>
      <c r="N42" s="30">
        <f t="shared" si="35"/>
        <v>1.1629953199569416</v>
      </c>
      <c r="O42" s="30">
        <f t="shared" si="35"/>
        <v>1.1384699400627554</v>
      </c>
      <c r="P42" s="30">
        <f t="shared" si="35"/>
        <v>0.91747656920730036</v>
      </c>
      <c r="Q42" s="30">
        <f t="shared" si="35"/>
        <v>0.9676675610694685</v>
      </c>
      <c r="R42" s="30">
        <f t="shared" si="35"/>
        <v>0.98675547968919242</v>
      </c>
      <c r="S42" s="30">
        <f t="shared" si="35"/>
        <v>1.3648104056415846</v>
      </c>
      <c r="T42" s="30">
        <f t="shared" si="35"/>
        <v>1.1255741733065554</v>
      </c>
      <c r="U42" s="30">
        <f t="shared" si="35"/>
        <v>1.3485633798087298</v>
      </c>
      <c r="V42" s="30">
        <f t="shared" si="35"/>
        <v>1.491643431545274</v>
      </c>
      <c r="W42" s="30">
        <f t="shared" si="35"/>
        <v>1.0532381040041818</v>
      </c>
      <c r="X42" s="30">
        <f t="shared" si="35"/>
        <v>22.2</v>
      </c>
      <c r="Y42" s="30">
        <f t="shared" si="34"/>
        <v>52</v>
      </c>
      <c r="Z42" s="30">
        <f t="shared" si="34"/>
        <v>51.111111111111107</v>
      </c>
      <c r="AA42" s="30">
        <f t="shared" si="34"/>
        <v>0.57396449704142005</v>
      </c>
      <c r="AB42" s="30">
        <f t="shared" si="34"/>
        <v>0.52447552447552448</v>
      </c>
      <c r="AC42" s="30">
        <f t="shared" si="34"/>
        <v>0.49880095923261392</v>
      </c>
      <c r="AD42" s="30"/>
      <c r="AE42" s="30"/>
      <c r="AF42" s="30"/>
    </row>
    <row r="43" spans="1:32" x14ac:dyDescent="0.3">
      <c r="A43" s="18" t="s">
        <v>82</v>
      </c>
      <c r="B43" s="49" t="s">
        <v>44</v>
      </c>
      <c r="C43" s="6" t="s">
        <v>62</v>
      </c>
      <c r="D43" s="29" t="e">
        <f t="shared" ref="D43:AC43" si="36">D14/D19</f>
        <v>#DIV/0!</v>
      </c>
      <c r="E43" s="29" t="e">
        <f t="shared" si="36"/>
        <v>#DIV/0!</v>
      </c>
      <c r="F43" s="29" t="e">
        <f t="shared" ref="F43:X43" si="37">F14/F19</f>
        <v>#DIV/0!</v>
      </c>
      <c r="G43" s="29" t="e">
        <f t="shared" si="37"/>
        <v>#DIV/0!</v>
      </c>
      <c r="H43" s="29" t="e">
        <f t="shared" si="37"/>
        <v>#DIV/0!</v>
      </c>
      <c r="I43" s="29">
        <f t="shared" si="37"/>
        <v>0.10806801137098102</v>
      </c>
      <c r="J43" s="29">
        <f t="shared" si="37"/>
        <v>0.19688502561315049</v>
      </c>
      <c r="K43" s="29">
        <f t="shared" si="37"/>
        <v>0.27188598334408343</v>
      </c>
      <c r="L43" s="29">
        <f t="shared" si="37"/>
        <v>0.34730571581222536</v>
      </c>
      <c r="M43" s="29">
        <f t="shared" si="37"/>
        <v>0.36448966281058648</v>
      </c>
      <c r="N43" s="29">
        <f t="shared" si="37"/>
        <v>0.34613180700285867</v>
      </c>
      <c r="O43" s="29">
        <f t="shared" si="37"/>
        <v>0.35534959769601432</v>
      </c>
      <c r="P43" s="29">
        <f t="shared" si="37"/>
        <v>0.30567897570393909</v>
      </c>
      <c r="Q43" s="29">
        <f t="shared" si="37"/>
        <v>0.28387574632927637</v>
      </c>
      <c r="R43" s="29">
        <f t="shared" si="37"/>
        <v>0.27467336142542992</v>
      </c>
      <c r="S43" s="29">
        <f t="shared" si="37"/>
        <v>0.59217537581981172</v>
      </c>
      <c r="T43" s="29">
        <f t="shared" si="37"/>
        <v>0.34585805701778388</v>
      </c>
      <c r="U43" s="29">
        <f t="shared" si="37"/>
        <v>0.69599744238100614</v>
      </c>
      <c r="V43" s="29">
        <f t="shared" si="37"/>
        <v>0.30689693689912173</v>
      </c>
      <c r="W43" s="29">
        <f t="shared" si="37"/>
        <v>0.18472865677326952</v>
      </c>
      <c r="X43" s="29">
        <f t="shared" si="37"/>
        <v>16.8</v>
      </c>
      <c r="Y43" s="29">
        <f t="shared" si="36"/>
        <v>45</v>
      </c>
      <c r="Z43" s="29">
        <f t="shared" si="36"/>
        <v>49.222222222222214</v>
      </c>
      <c r="AA43" s="29">
        <f t="shared" si="36"/>
        <v>0.10848126232741617</v>
      </c>
      <c r="AB43" s="29">
        <f t="shared" si="36"/>
        <v>7.4592074592074592E-2</v>
      </c>
      <c r="AC43" s="29">
        <f t="shared" si="36"/>
        <v>5.9952038369304551E-2</v>
      </c>
      <c r="AD43" s="29"/>
      <c r="AE43" s="29"/>
      <c r="AF43" s="29"/>
    </row>
    <row r="44" spans="1:32" x14ac:dyDescent="0.3">
      <c r="A44" s="16" t="s">
        <v>83</v>
      </c>
      <c r="B44" s="17" t="s">
        <v>45</v>
      </c>
      <c r="C44" s="1" t="s">
        <v>63</v>
      </c>
      <c r="D44" s="30" t="e">
        <f t="shared" ref="D44:AC44" si="38">D29/D7</f>
        <v>#DIV/0!</v>
      </c>
      <c r="E44" s="30" t="e">
        <f t="shared" si="38"/>
        <v>#DIV/0!</v>
      </c>
      <c r="F44" s="30" t="e">
        <f t="shared" ref="F44:X44" si="39">F29/F7</f>
        <v>#DIV/0!</v>
      </c>
      <c r="G44" s="30" t="e">
        <f t="shared" si="39"/>
        <v>#DIV/0!</v>
      </c>
      <c r="H44" s="30" t="e">
        <f t="shared" si="39"/>
        <v>#DIV/0!</v>
      </c>
      <c r="I44" s="30">
        <f t="shared" si="39"/>
        <v>-0.30229977374339839</v>
      </c>
      <c r="J44" s="30">
        <f t="shared" si="39"/>
        <v>-1.6246642936243143</v>
      </c>
      <c r="K44" s="30">
        <f t="shared" si="39"/>
        <v>579.57887829318781</v>
      </c>
      <c r="L44" s="30">
        <f t="shared" si="39"/>
        <v>474.36983135506046</v>
      </c>
      <c r="M44" s="30">
        <f t="shared" si="39"/>
        <v>-3.9265316349893116</v>
      </c>
      <c r="N44" s="30">
        <f t="shared" si="39"/>
        <v>-2.6101161192461637</v>
      </c>
      <c r="O44" s="30">
        <f t="shared" si="39"/>
        <v>0.40078892977689035</v>
      </c>
      <c r="P44" s="30">
        <f t="shared" si="39"/>
        <v>2.7667552287765322</v>
      </c>
      <c r="Q44" s="30">
        <f t="shared" si="39"/>
        <v>1.5903384264467308</v>
      </c>
      <c r="R44" s="30">
        <f t="shared" si="39"/>
        <v>2.5778014851128712</v>
      </c>
      <c r="S44" s="30">
        <f t="shared" si="39"/>
        <v>1.0190369767417016</v>
      </c>
      <c r="T44" s="30">
        <f t="shared" si="39"/>
        <v>3.7914334444254543</v>
      </c>
      <c r="U44" s="30">
        <f t="shared" si="39"/>
        <v>2.6838032131403935</v>
      </c>
      <c r="V44" s="30">
        <f t="shared" si="39"/>
        <v>-3.893473687611603</v>
      </c>
      <c r="W44" s="30">
        <f t="shared" si="39"/>
        <v>-2.4129493264945698</v>
      </c>
      <c r="X44" s="30">
        <f t="shared" si="39"/>
        <v>-13.297233214245663</v>
      </c>
      <c r="Y44" s="30">
        <f t="shared" si="38"/>
        <v>-157.82948953901777</v>
      </c>
      <c r="Z44" s="30">
        <f t="shared" si="38"/>
        <v>-11.856854248230427</v>
      </c>
      <c r="AA44" s="30">
        <f t="shared" si="38"/>
        <v>-22.91175170461813</v>
      </c>
      <c r="AB44" s="30">
        <f t="shared" si="38"/>
        <v>-2.495108274566967</v>
      </c>
      <c r="AC44" s="30">
        <f t="shared" si="38"/>
        <v>-8.645123419943225</v>
      </c>
      <c r="AD44" s="30"/>
      <c r="AE44" s="30"/>
      <c r="AF44" s="30"/>
    </row>
    <row r="45" spans="1:32" x14ac:dyDescent="0.3">
      <c r="A45" s="18" t="s">
        <v>84</v>
      </c>
      <c r="B45" s="54" t="s">
        <v>99</v>
      </c>
      <c r="C45" s="6" t="s">
        <v>64</v>
      </c>
      <c r="D45" s="29" t="e">
        <f t="shared" ref="D45:AC45" si="40">D18/D23</f>
        <v>#DIV/0!</v>
      </c>
      <c r="E45" s="29" t="e">
        <f t="shared" si="40"/>
        <v>#DIV/0!</v>
      </c>
      <c r="F45" s="29" t="e">
        <f t="shared" ref="F45:X45" si="41">F18/F23</f>
        <v>#DIV/0!</v>
      </c>
      <c r="G45" s="29" t="e">
        <f t="shared" si="41"/>
        <v>#DIV/0!</v>
      </c>
      <c r="H45" s="29" t="e">
        <f t="shared" si="41"/>
        <v>#DIV/0!</v>
      </c>
      <c r="I45" s="29">
        <f t="shared" si="41"/>
        <v>4.7273796426088728</v>
      </c>
      <c r="J45" s="29">
        <f t="shared" si="41"/>
        <v>3.8411945331712816</v>
      </c>
      <c r="K45" s="29">
        <f t="shared" si="41"/>
        <v>2.2331256916213889</v>
      </c>
      <c r="L45" s="29">
        <f t="shared" si="41"/>
        <v>2.4099296056773305</v>
      </c>
      <c r="M45" s="29">
        <f t="shared" si="41"/>
        <v>2.7804002708779842</v>
      </c>
      <c r="N45" s="29">
        <f t="shared" si="41"/>
        <v>2.9843007182582255</v>
      </c>
      <c r="O45" s="29">
        <f t="shared" si="41"/>
        <v>3.8854054381041436</v>
      </c>
      <c r="P45" s="29">
        <f t="shared" si="41"/>
        <v>6.0514455066606496</v>
      </c>
      <c r="Q45" s="29">
        <f t="shared" si="41"/>
        <v>2.3901063217876377</v>
      </c>
      <c r="R45" s="29">
        <f t="shared" si="41"/>
        <v>2.5482213304376562</v>
      </c>
      <c r="S45" s="29">
        <f t="shared" si="41"/>
        <v>1.7180789786164643</v>
      </c>
      <c r="T45" s="29">
        <f t="shared" si="41"/>
        <v>1.929014369657124</v>
      </c>
      <c r="U45" s="29">
        <f t="shared" si="41"/>
        <v>2.8110796183235784</v>
      </c>
      <c r="V45" s="29">
        <f t="shared" si="41"/>
        <v>2.6208488712667566</v>
      </c>
      <c r="W45" s="29">
        <f t="shared" si="41"/>
        <v>1.4796490561815705</v>
      </c>
      <c r="X45" s="29">
        <f t="shared" si="41"/>
        <v>2.680074317167195</v>
      </c>
      <c r="Y45" s="29">
        <f t="shared" si="40"/>
        <v>4.9209159821079052</v>
      </c>
      <c r="Z45" s="29">
        <f t="shared" si="40"/>
        <v>5.878212543103448</v>
      </c>
      <c r="AA45" s="29">
        <f t="shared" si="40"/>
        <v>10.62992125984252</v>
      </c>
      <c r="AB45" s="29">
        <f t="shared" si="40"/>
        <v>8.9915254237288131</v>
      </c>
      <c r="AC45" s="29">
        <f t="shared" si="40"/>
        <v>-37.526315789473685</v>
      </c>
      <c r="AD45" s="29"/>
      <c r="AE45" s="29"/>
      <c r="AF45" s="29"/>
    </row>
    <row r="46" spans="1:32" x14ac:dyDescent="0.3">
      <c r="A46" s="18" t="s">
        <v>97</v>
      </c>
      <c r="B46" s="17" t="s">
        <v>100</v>
      </c>
      <c r="C46" s="6" t="s">
        <v>111</v>
      </c>
      <c r="D46" s="28">
        <f t="shared" ref="D46:AF46" si="42">D13/D4</f>
        <v>0</v>
      </c>
      <c r="E46" s="28">
        <f t="shared" si="42"/>
        <v>0</v>
      </c>
      <c r="F46" s="28">
        <f t="shared" ref="F46:X46" si="43">F13/F4</f>
        <v>0</v>
      </c>
      <c r="G46" s="28">
        <f t="shared" si="43"/>
        <v>0</v>
      </c>
      <c r="H46" s="28">
        <f t="shared" si="43"/>
        <v>0</v>
      </c>
      <c r="I46" s="28">
        <f t="shared" si="43"/>
        <v>5.5189591463414629E-2</v>
      </c>
      <c r="J46" s="28">
        <f t="shared" si="43"/>
        <v>5.5055310218978096E-2</v>
      </c>
      <c r="K46" s="28">
        <f t="shared" si="43"/>
        <v>6.4663173253676459E-2</v>
      </c>
      <c r="L46" s="28">
        <f t="shared" si="43"/>
        <v>7.7856117455138665E-2</v>
      </c>
      <c r="M46" s="28">
        <f t="shared" si="43"/>
        <v>3.4413747228381378E-2</v>
      </c>
      <c r="N46" s="28">
        <f t="shared" si="43"/>
        <v>3.8571599657827207E-2</v>
      </c>
      <c r="O46" s="28">
        <f t="shared" si="43"/>
        <v>1.8748752079866888E-2</v>
      </c>
      <c r="P46" s="28">
        <f t="shared" si="43"/>
        <v>2.7806399521531102E-2</v>
      </c>
      <c r="Q46" s="28">
        <f t="shared" si="43"/>
        <v>2.2344322344322345E-6</v>
      </c>
      <c r="R46" s="28">
        <f t="shared" si="43"/>
        <v>2.4413835125448029E-2</v>
      </c>
      <c r="S46" s="28">
        <f t="shared" si="43"/>
        <v>3.5648369565217393E-2</v>
      </c>
      <c r="T46" s="28">
        <f t="shared" si="43"/>
        <v>7.2951364522417142E-2</v>
      </c>
      <c r="U46" s="28">
        <f t="shared" si="43"/>
        <v>5.1183243243243248E-2</v>
      </c>
      <c r="V46" s="28">
        <f t="shared" si="43"/>
        <v>0.10840992753623188</v>
      </c>
      <c r="W46" s="28">
        <f t="shared" si="43"/>
        <v>0.20833333333333337</v>
      </c>
      <c r="X46" s="28">
        <f t="shared" si="43"/>
        <v>0.16422590996168582</v>
      </c>
      <c r="Y46" s="28">
        <f t="shared" si="42"/>
        <v>0.15787564456721917</v>
      </c>
      <c r="Z46" s="28">
        <f t="shared" si="42"/>
        <v>0</v>
      </c>
      <c r="AA46" s="28">
        <f t="shared" si="42"/>
        <v>0</v>
      </c>
      <c r="AB46" s="28">
        <f t="shared" si="42"/>
        <v>0</v>
      </c>
      <c r="AC46" s="28">
        <f t="shared" si="42"/>
        <v>0</v>
      </c>
      <c r="AD46" s="28">
        <f t="shared" si="42"/>
        <v>0</v>
      </c>
      <c r="AE46" s="28">
        <f t="shared" si="42"/>
        <v>0</v>
      </c>
      <c r="AF46" s="28">
        <f t="shared" si="42"/>
        <v>0</v>
      </c>
    </row>
  </sheetData>
  <mergeCells count="3">
    <mergeCell ref="A6:A13"/>
    <mergeCell ref="A14:A23"/>
    <mergeCell ref="AC2:AF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F6C1B-9462-44F5-B3EE-3E5327CE3A27}">
  <sheetPr codeName="Planilha30"/>
  <dimension ref="A2:AF46"/>
  <sheetViews>
    <sheetView zoomScaleNormal="100" workbookViewId="0">
      <pane xSplit="3" ySplit="3" topLeftCell="M4" activePane="bottomRight" state="frozen"/>
      <selection activeCell="C22" sqref="C22"/>
      <selection pane="topRight" activeCell="C22" sqref="C22"/>
      <selection pane="bottomLeft" activeCell="C22" sqref="C22"/>
      <selection pane="bottomRight" activeCell="AF35" sqref="AF35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1" width="8.33203125" customWidth="1"/>
  </cols>
  <sheetData>
    <row r="2" spans="1:32" x14ac:dyDescent="0.3">
      <c r="AC2" s="104" t="s">
        <v>102</v>
      </c>
      <c r="AD2" s="104"/>
      <c r="AE2" s="107"/>
    </row>
    <row r="3" spans="1:32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8" t="s">
        <v>94</v>
      </c>
    </row>
    <row r="4" spans="1:32" x14ac:dyDescent="0.3">
      <c r="A4" s="4" t="s">
        <v>5</v>
      </c>
      <c r="B4" s="11">
        <v>1</v>
      </c>
      <c r="C4" s="6" t="s">
        <v>4</v>
      </c>
      <c r="D4" s="19">
        <v>1.96</v>
      </c>
      <c r="E4" s="19">
        <v>1.83</v>
      </c>
      <c r="F4" s="19">
        <v>2.88</v>
      </c>
      <c r="G4" s="19">
        <v>5.57</v>
      </c>
      <c r="H4" s="19">
        <v>5.0999999999999996</v>
      </c>
      <c r="I4" s="19">
        <v>7.11</v>
      </c>
      <c r="J4" s="19">
        <v>6.36</v>
      </c>
      <c r="K4" s="19">
        <v>5.83</v>
      </c>
      <c r="L4" s="19">
        <v>4.3600000000000003</v>
      </c>
      <c r="M4" s="19">
        <v>5.32</v>
      </c>
      <c r="N4" s="19">
        <v>6.06</v>
      </c>
      <c r="O4" s="19">
        <v>5.7</v>
      </c>
      <c r="P4" s="19">
        <v>6.56</v>
      </c>
      <c r="Q4" s="19">
        <v>7.12</v>
      </c>
      <c r="R4" s="19">
        <v>4.84</v>
      </c>
      <c r="S4" s="19">
        <v>6.79</v>
      </c>
      <c r="T4" s="19">
        <v>6.68</v>
      </c>
      <c r="U4" s="19">
        <v>3.55</v>
      </c>
      <c r="V4" s="19">
        <v>2.99</v>
      </c>
      <c r="W4" s="19">
        <v>2.52</v>
      </c>
      <c r="X4" s="19">
        <v>0.68899999999999995</v>
      </c>
      <c r="Y4" s="19">
        <v>0.216</v>
      </c>
      <c r="Z4" s="19">
        <v>0.20699999999999999</v>
      </c>
      <c r="AA4" s="19">
        <v>0.25</v>
      </c>
      <c r="AB4" s="19">
        <v>0.16320000000000001</v>
      </c>
      <c r="AC4" s="19">
        <v>9.9599999999999994E-2</v>
      </c>
      <c r="AD4" s="19">
        <v>0.12479999999999999</v>
      </c>
      <c r="AE4" s="19">
        <v>7.51E-2</v>
      </c>
      <c r="AF4" s="1">
        <v>8.8499999999999995E-2</v>
      </c>
    </row>
    <row r="5" spans="1:32" x14ac:dyDescent="0.3">
      <c r="A5" s="5" t="s">
        <v>8</v>
      </c>
      <c r="B5" s="12">
        <v>3</v>
      </c>
      <c r="C5" s="1" t="s">
        <v>86</v>
      </c>
      <c r="D5" s="3"/>
      <c r="E5" s="3"/>
      <c r="F5" s="3"/>
      <c r="G5" s="3"/>
      <c r="H5" s="3">
        <v>1200</v>
      </c>
      <c r="I5" s="3">
        <v>1200</v>
      </c>
      <c r="J5" s="3">
        <v>1200</v>
      </c>
      <c r="K5" s="3">
        <v>1200</v>
      </c>
      <c r="L5" s="3">
        <v>1257.2006550000001</v>
      </c>
      <c r="M5" s="3">
        <v>1254.2850000000001</v>
      </c>
      <c r="N5" s="3">
        <f>N12/0.53</f>
        <v>1368.3239679245282</v>
      </c>
      <c r="O5" s="3">
        <f>O12/0.57</f>
        <v>1208.6940736842105</v>
      </c>
      <c r="P5" s="3">
        <f>P12/0.78</f>
        <v>1223.2407858974359</v>
      </c>
      <c r="Q5" s="3">
        <f>Q12/0.71</f>
        <v>1175.6438901408451</v>
      </c>
      <c r="R5" s="3">
        <f>R12/0.64</f>
        <v>1087.2214906250001</v>
      </c>
      <c r="S5" s="3">
        <f>S12/0.78</f>
        <v>1008.3449935897436</v>
      </c>
      <c r="T5" s="3">
        <f>T12/6.48</f>
        <v>898.15845709876544</v>
      </c>
      <c r="U5" s="3">
        <f>U12/0.39</f>
        <v>1084.3890846153845</v>
      </c>
      <c r="V5" s="3">
        <f>V12/0.26</f>
        <v>869.33133461538466</v>
      </c>
      <c r="W5" s="3">
        <f>W12/0.39</f>
        <v>876.43084871794872</v>
      </c>
      <c r="X5" s="3">
        <f>X12/-0.59</f>
        <v>490.23060338983055</v>
      </c>
      <c r="Y5" s="3">
        <f>Y12/-0.79</f>
        <v>878.3446873417721</v>
      </c>
      <c r="Z5" s="3">
        <f>Z12/-0.07</f>
        <v>883.74259999999992</v>
      </c>
      <c r="AA5" s="3">
        <f>AA12/-0.93</f>
        <v>867.20095698924729</v>
      </c>
      <c r="AB5" s="3">
        <v>896.89</v>
      </c>
      <c r="AC5" s="3">
        <v>896.89</v>
      </c>
      <c r="AD5" s="3">
        <v>896.89</v>
      </c>
      <c r="AE5" s="3">
        <v>896.89</v>
      </c>
      <c r="AF5" s="3">
        <v>896.89</v>
      </c>
    </row>
    <row r="6" spans="1:32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>
        <v>2934.8209999999999</v>
      </c>
      <c r="I6" s="7">
        <v>2580.3290000000002</v>
      </c>
      <c r="J6" s="7">
        <v>5330.7017370000003</v>
      </c>
      <c r="K6" s="7">
        <v>5905.7363990000003</v>
      </c>
      <c r="L6" s="7">
        <v>5583.4960719999999</v>
      </c>
      <c r="M6" s="7">
        <v>5764.3530700000001</v>
      </c>
      <c r="N6" s="7">
        <v>5967.3789999999999</v>
      </c>
      <c r="O6" s="7">
        <v>6385.4182940000001</v>
      </c>
      <c r="P6" s="7">
        <v>5765.2876189999997</v>
      </c>
      <c r="Q6" s="7">
        <v>6148.4091920000001</v>
      </c>
      <c r="R6" s="7">
        <v>6720.8868599999996</v>
      </c>
      <c r="S6" s="7">
        <v>6784.6806100000003</v>
      </c>
      <c r="T6" s="7">
        <v>3742.2538380000001</v>
      </c>
      <c r="U6" s="7">
        <v>6146.8447210000004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</row>
    <row r="7" spans="1:32" x14ac:dyDescent="0.3">
      <c r="A7" s="101"/>
      <c r="B7" s="13">
        <v>5</v>
      </c>
      <c r="C7" s="1" t="s">
        <v>9</v>
      </c>
      <c r="D7" s="3"/>
      <c r="E7" s="3"/>
      <c r="F7" s="3"/>
      <c r="G7" s="3"/>
      <c r="H7" s="3">
        <f>H8+490.393</f>
        <v>1032.873</v>
      </c>
      <c r="I7" s="3">
        <f>I8+463.937</f>
        <v>1060.7649999999999</v>
      </c>
      <c r="J7" s="3">
        <f>J8+1005.22796</f>
        <v>1805.7435190000001</v>
      </c>
      <c r="K7" s="3">
        <f>K8+957.426773</f>
        <v>2081.6266820000001</v>
      </c>
      <c r="L7" s="3">
        <f>L8+927.543435</f>
        <v>2157.00063</v>
      </c>
      <c r="M7" s="3">
        <f>M8+958.218925</f>
        <v>2236.3379650000002</v>
      </c>
      <c r="N7" s="3">
        <f>N8+934.936568</f>
        <v>2362.9495360000001</v>
      </c>
      <c r="O7" s="3">
        <f>O8+1059.598855</f>
        <v>2495.5986590000002</v>
      </c>
      <c r="P7" s="3">
        <f>P8+1130.713808</f>
        <v>2107.7899480000001</v>
      </c>
      <c r="Q7" s="3">
        <f>Q8+1123.064739</f>
        <v>2038.7765219999999</v>
      </c>
      <c r="R7" s="3">
        <f>R8+1268.342092</f>
        <v>2179.0017849999999</v>
      </c>
      <c r="S7" s="3">
        <f>S8+1437.928144</f>
        <v>2494.6263549999999</v>
      </c>
      <c r="T7" s="3">
        <f>T8+758.567813</f>
        <v>1172.3242169999999</v>
      </c>
      <c r="U7" s="3">
        <f>U8+1325.584609</f>
        <v>2069.5947470000001</v>
      </c>
      <c r="V7" s="3">
        <v>147.54791900000001</v>
      </c>
      <c r="W7" s="3">
        <v>345.50040999999999</v>
      </c>
      <c r="X7" s="3">
        <f>X8+0.10106</f>
        <v>25.806097000000001</v>
      </c>
      <c r="Y7" s="3">
        <f>Y8+0.105914</f>
        <v>-15.974085999999998</v>
      </c>
      <c r="Z7" s="3">
        <f>Z8+0.083638</f>
        <v>-7.0363620000000004</v>
      </c>
      <c r="AA7" s="3">
        <f>AA8+0.079495</f>
        <v>-1.9905049999999997</v>
      </c>
      <c r="AB7" s="7">
        <v>-17.03</v>
      </c>
      <c r="AC7" s="7">
        <v>8.23</v>
      </c>
      <c r="AD7" s="7">
        <v>-3.12</v>
      </c>
      <c r="AE7" s="3"/>
      <c r="AF7" s="1"/>
    </row>
    <row r="8" spans="1:32" x14ac:dyDescent="0.3">
      <c r="A8" s="101"/>
      <c r="B8" s="13">
        <v>6</v>
      </c>
      <c r="C8" s="6" t="s">
        <v>10</v>
      </c>
      <c r="D8" s="7"/>
      <c r="E8" s="7"/>
      <c r="F8" s="7"/>
      <c r="G8" s="7"/>
      <c r="H8" s="7">
        <v>542.48</v>
      </c>
      <c r="I8" s="7">
        <v>596.82799999999997</v>
      </c>
      <c r="J8" s="7">
        <v>800.51555900000005</v>
      </c>
      <c r="K8" s="7">
        <v>1124.1999089999999</v>
      </c>
      <c r="L8" s="7">
        <v>1229.457195</v>
      </c>
      <c r="M8" s="7">
        <v>1278.11904</v>
      </c>
      <c r="N8" s="7">
        <v>1428.012968</v>
      </c>
      <c r="O8" s="7">
        <v>1435.999804</v>
      </c>
      <c r="P8" s="7">
        <v>977.07614000000001</v>
      </c>
      <c r="Q8" s="7">
        <v>915.71178299999997</v>
      </c>
      <c r="R8" s="7">
        <v>910.65969299999995</v>
      </c>
      <c r="S8" s="7">
        <v>1056.6982109999999</v>
      </c>
      <c r="T8" s="7">
        <v>413.75640399999997</v>
      </c>
      <c r="U8" s="7">
        <v>744.01013799999998</v>
      </c>
      <c r="V8" s="7">
        <v>147.26834299999999</v>
      </c>
      <c r="W8" s="7">
        <v>345.50040999999999</v>
      </c>
      <c r="X8" s="7">
        <v>25.705037000000001</v>
      </c>
      <c r="Y8" s="7">
        <v>-16.079999999999998</v>
      </c>
      <c r="Z8" s="7">
        <v>-7.12</v>
      </c>
      <c r="AA8" s="7">
        <v>-2.0699999999999998</v>
      </c>
      <c r="AB8" s="7">
        <v>-17.03</v>
      </c>
      <c r="AC8" s="7">
        <v>8.23</v>
      </c>
      <c r="AD8" s="7">
        <v>-3.12</v>
      </c>
      <c r="AE8" s="7"/>
      <c r="AF8" s="1"/>
    </row>
    <row r="9" spans="1:32" x14ac:dyDescent="0.3">
      <c r="A9" s="101"/>
      <c r="B9" s="13">
        <v>11</v>
      </c>
      <c r="C9" s="1" t="s">
        <v>11</v>
      </c>
      <c r="D9" s="3"/>
      <c r="E9" s="3"/>
      <c r="F9" s="3"/>
      <c r="G9" s="3"/>
      <c r="H9" s="3">
        <v>104.209</v>
      </c>
      <c r="I9" s="3">
        <v>455.22800000000001</v>
      </c>
      <c r="J9" s="3">
        <v>-611.45117100000004</v>
      </c>
      <c r="K9" s="3">
        <v>-1097.031954</v>
      </c>
      <c r="L9" s="3">
        <v>-524.92935499999999</v>
      </c>
      <c r="M9" s="3">
        <v>-274.19862799999999</v>
      </c>
      <c r="N9" s="3">
        <v>-286.388079</v>
      </c>
      <c r="O9" s="3">
        <v>-333.14002399999998</v>
      </c>
      <c r="P9" s="3">
        <v>-118.444777</v>
      </c>
      <c r="Q9" s="3">
        <v>116.79892</v>
      </c>
      <c r="R9" s="3">
        <v>-129.49669499999999</v>
      </c>
      <c r="S9" s="3">
        <v>109.058555</v>
      </c>
      <c r="T9" s="3">
        <v>332.16611699999999</v>
      </c>
      <c r="U9" s="3">
        <v>531.10855600000002</v>
      </c>
      <c r="V9" s="3">
        <f>98.495789-122.479324</f>
        <v>-23.983535000000003</v>
      </c>
      <c r="W9" s="3">
        <f>153.45672-195.677192</f>
        <v>-42.220472000000001</v>
      </c>
      <c r="X9" s="3">
        <v>-770</v>
      </c>
      <c r="Y9" s="3">
        <v>-678.85</v>
      </c>
      <c r="Z9" s="3">
        <v>-53.55</v>
      </c>
      <c r="AA9" s="3">
        <v>-804.08</v>
      </c>
      <c r="AB9" s="3">
        <v>-1.0900000000000001</v>
      </c>
      <c r="AC9" s="3">
        <v>25.21</v>
      </c>
      <c r="AD9" s="3">
        <v>-11.14</v>
      </c>
      <c r="AE9" s="3"/>
      <c r="AF9" s="1"/>
    </row>
    <row r="10" spans="1:32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>
        <v>629.25900000000001</v>
      </c>
      <c r="I10" s="7">
        <v>630.93399999999997</v>
      </c>
      <c r="J10" s="7">
        <v>700.15309999999999</v>
      </c>
      <c r="K10" s="7">
        <v>155.294973</v>
      </c>
      <c r="L10" s="7">
        <v>660.30668600000001</v>
      </c>
      <c r="M10" s="7">
        <v>696.72901000000002</v>
      </c>
      <c r="N10" s="7">
        <v>909.131169</v>
      </c>
      <c r="O10" s="7">
        <v>1051.565863</v>
      </c>
      <c r="P10" s="7">
        <v>858.63136299999996</v>
      </c>
      <c r="Q10" s="7">
        <v>1032.5107029999999</v>
      </c>
      <c r="R10" s="7">
        <v>927.20151599999997</v>
      </c>
      <c r="S10" s="7">
        <v>1019.718248</v>
      </c>
      <c r="T10" s="7">
        <v>531.10855600000002</v>
      </c>
      <c r="U10" s="7">
        <v>332.16611699999999</v>
      </c>
      <c r="V10" s="7">
        <v>123.284808</v>
      </c>
      <c r="W10" s="7">
        <v>303.04264899999998</v>
      </c>
      <c r="X10" s="7">
        <v>-795.23113599999999</v>
      </c>
      <c r="Y10" s="7">
        <v>-693.83320700000002</v>
      </c>
      <c r="Z10" s="7">
        <v>-61.840432</v>
      </c>
      <c r="AA10" s="7">
        <v>-806.46669399999996</v>
      </c>
      <c r="AB10" s="7">
        <v>-5.65</v>
      </c>
      <c r="AC10" s="7">
        <v>20.74</v>
      </c>
      <c r="AD10" s="7">
        <v>-14.32</v>
      </c>
      <c r="AE10" s="7"/>
      <c r="AF10" s="1"/>
    </row>
    <row r="11" spans="1:32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>
        <v>379.05799999999999</v>
      </c>
      <c r="I11" s="3">
        <v>136.43</v>
      </c>
      <c r="J11" s="3">
        <v>256.09474399999999</v>
      </c>
      <c r="K11" s="3">
        <v>190.55417</v>
      </c>
      <c r="L11" s="3">
        <v>343.87155200000001</v>
      </c>
      <c r="M11" s="3">
        <v>377.26877899999999</v>
      </c>
      <c r="N11" s="3">
        <v>209.98464799999999</v>
      </c>
      <c r="O11" s="3">
        <v>384.34319299999999</v>
      </c>
      <c r="P11" s="3">
        <v>213.64371</v>
      </c>
      <c r="Q11" s="3">
        <v>-243.27766500000001</v>
      </c>
      <c r="R11" s="3">
        <v>231.379762</v>
      </c>
      <c r="S11" s="3">
        <v>233.20915299999999</v>
      </c>
      <c r="T11" s="3">
        <v>77.525847999999996</v>
      </c>
      <c r="U11" s="3">
        <v>108.19681300000001</v>
      </c>
      <c r="V11" s="3">
        <v>102.741339</v>
      </c>
      <c r="W11" s="3">
        <v>38.765382000000002</v>
      </c>
      <c r="X11" s="3">
        <v>35.336472999999998</v>
      </c>
      <c r="Y11" s="35">
        <v>5.9096000000000003E-2</v>
      </c>
      <c r="Z11" s="35">
        <v>2.155E-2</v>
      </c>
      <c r="AA11" s="35">
        <v>3.0195E-2</v>
      </c>
      <c r="AB11" s="3">
        <v>-12.51</v>
      </c>
      <c r="AC11" s="3">
        <v>12.66</v>
      </c>
      <c r="AD11" s="3">
        <v>0.03</v>
      </c>
      <c r="AE11" s="3"/>
      <c r="AF11" s="1"/>
    </row>
    <row r="12" spans="1:32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>
        <v>440.20100000000002</v>
      </c>
      <c r="I12" s="7">
        <v>494.48399999999998</v>
      </c>
      <c r="J12" s="7">
        <v>540.32678199999998</v>
      </c>
      <c r="K12" s="7">
        <v>307.39045900000002</v>
      </c>
      <c r="L12" s="7">
        <v>391.05579799999998</v>
      </c>
      <c r="M12" s="7">
        <v>240.23530099999999</v>
      </c>
      <c r="N12" s="7">
        <v>725.21170300000006</v>
      </c>
      <c r="O12" s="7">
        <v>688.95562199999995</v>
      </c>
      <c r="P12" s="7">
        <v>954.12781299999995</v>
      </c>
      <c r="Q12" s="7">
        <v>834.70716200000004</v>
      </c>
      <c r="R12" s="7">
        <v>695.82175400000006</v>
      </c>
      <c r="S12" s="7">
        <v>786.509095</v>
      </c>
      <c r="T12" s="7">
        <v>5820.0668020000003</v>
      </c>
      <c r="U12" s="7">
        <v>422.911743</v>
      </c>
      <c r="V12" s="7">
        <v>226.02614700000001</v>
      </c>
      <c r="W12" s="7">
        <v>341.80803100000003</v>
      </c>
      <c r="X12" s="7">
        <v>-289.23605600000002</v>
      </c>
      <c r="Y12" s="7">
        <v>-693.89230299999997</v>
      </c>
      <c r="Z12" s="7">
        <v>-61.861981999999998</v>
      </c>
      <c r="AA12" s="7">
        <v>-806.49689000000001</v>
      </c>
      <c r="AB12" s="7">
        <v>-5.65</v>
      </c>
      <c r="AC12" s="7">
        <v>20.74</v>
      </c>
      <c r="AD12" s="7">
        <v>-14.32</v>
      </c>
      <c r="AE12" s="7"/>
      <c r="AF12" s="1"/>
    </row>
    <row r="13" spans="1:32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3">
        <f>167.376/H5</f>
        <v>0.13947999999999999</v>
      </c>
      <c r="I13" s="3">
        <f>190.713/I5</f>
        <v>0.1589275</v>
      </c>
      <c r="J13" s="3">
        <f>268.637185/J5</f>
        <v>0.22386432083333332</v>
      </c>
      <c r="K13" s="3">
        <f>37.825479/K5</f>
        <v>3.1521232500000003E-2</v>
      </c>
      <c r="L13" s="3">
        <f>129.035959/L5</f>
        <v>0.10263752129527802</v>
      </c>
      <c r="M13" s="3">
        <f>227.516018/M5</f>
        <v>0.1813910060313246</v>
      </c>
      <c r="N13" s="22">
        <f>297.052335/N5</f>
        <v>0.21709210827503705</v>
      </c>
      <c r="O13" s="22">
        <f>445.415157/O5</f>
        <v>0.36850942409466253</v>
      </c>
      <c r="P13" s="22">
        <f>552.208352/P5</f>
        <v>0.45143062458865768</v>
      </c>
      <c r="Q13" s="22">
        <f>552.726968/Q5</f>
        <v>0.47014829289316679</v>
      </c>
      <c r="R13" s="22">
        <f>574.613933/R5</f>
        <v>0.52851598129253075</v>
      </c>
      <c r="S13" s="22">
        <f>588.516153/S5</f>
        <v>0.58364563392620405</v>
      </c>
      <c r="T13" s="22">
        <f>1451.9651875/T5</f>
        <v>1.6166024781307999</v>
      </c>
      <c r="U13" s="22">
        <f>1206.055463/U5</f>
        <v>1.1121980847195345</v>
      </c>
      <c r="V13" s="22">
        <f>569.317125/V5</f>
        <v>0.65489083658980396</v>
      </c>
      <c r="W13" s="22">
        <f>284.658563/W5</f>
        <v>0.32479295248039391</v>
      </c>
      <c r="X13" s="22">
        <f>87.58725/X5</f>
        <v>0.17866540643190071</v>
      </c>
      <c r="Y13" s="3">
        <v>0</v>
      </c>
      <c r="Z13" s="22">
        <f>25.969766/Z5</f>
        <v>2.9386119895091628E-2</v>
      </c>
      <c r="AA13" s="3">
        <v>0</v>
      </c>
      <c r="AB13" s="3">
        <f t="shared" ref="AB13" si="0">AA13*1.1</f>
        <v>0</v>
      </c>
      <c r="AC13" s="3">
        <v>0</v>
      </c>
      <c r="AD13" s="3">
        <v>0</v>
      </c>
      <c r="AE13" s="3">
        <v>0</v>
      </c>
      <c r="AF13" s="1"/>
    </row>
    <row r="14" spans="1:32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>
        <v>1069.7470000000001</v>
      </c>
      <c r="I14" s="7">
        <v>25.585999999999999</v>
      </c>
      <c r="J14" s="7">
        <v>455.53775300000001</v>
      </c>
      <c r="K14" s="7">
        <v>1225.0502309999999</v>
      </c>
      <c r="L14" s="7">
        <v>2268.0428230000002</v>
      </c>
      <c r="M14" s="7">
        <v>2528.5459700000001</v>
      </c>
      <c r="N14" s="7">
        <v>428.11900400000002</v>
      </c>
      <c r="O14" s="7">
        <v>612.15848500000004</v>
      </c>
      <c r="P14" s="7">
        <v>548.46461699999998</v>
      </c>
      <c r="Q14" s="7">
        <v>664.64285400000006</v>
      </c>
      <c r="R14" s="7">
        <v>1010.655198</v>
      </c>
      <c r="S14" s="7">
        <v>1449.5165489999999</v>
      </c>
      <c r="T14" s="7">
        <v>4764.7327340000002</v>
      </c>
      <c r="U14" s="7">
        <v>4930.0123960000001</v>
      </c>
      <c r="V14" s="7">
        <v>264.01459699999998</v>
      </c>
      <c r="W14" s="7">
        <v>541.96211500000004</v>
      </c>
      <c r="X14" s="7">
        <v>109.511599</v>
      </c>
      <c r="Y14" s="7">
        <v>64.879371000000006</v>
      </c>
      <c r="Z14" s="7">
        <v>28.936972999999998</v>
      </c>
      <c r="AA14" s="7">
        <v>25.152142000000001</v>
      </c>
      <c r="AB14" s="7">
        <v>38.1</v>
      </c>
      <c r="AC14" s="7">
        <v>17.899999999999999</v>
      </c>
      <c r="AD14" s="7">
        <v>20.7</v>
      </c>
      <c r="AE14" s="7">
        <v>19.5</v>
      </c>
      <c r="AF14" s="1"/>
    </row>
    <row r="15" spans="1:32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>
        <f>924.635+1612.256</f>
        <v>2536.8910000000001</v>
      </c>
      <c r="I15" s="3">
        <f>2494.561+288.66</f>
        <v>2783.221</v>
      </c>
      <c r="J15" s="3">
        <f>509.455+1124.699474+49.57979+1044.486725</f>
        <v>2728.2209889999999</v>
      </c>
      <c r="K15" s="3">
        <f>1059.025+2724.699474+197.024625+360.073494</f>
        <v>4340.8225929999999</v>
      </c>
      <c r="L15" s="3">
        <f>1059.035+2724.699474+1289.838767+285.11837+257.338082</f>
        <v>5616.0296930000004</v>
      </c>
      <c r="M15" s="3">
        <f>440.335+2669.141209+1363.871+450.485+124.699474+293.830302</f>
        <v>5342.3619849999995</v>
      </c>
      <c r="N15" s="3">
        <f>1622.399994+3899.325886</f>
        <v>5521.72588</v>
      </c>
      <c r="O15" s="3">
        <f>2415.606371+5168.626522</f>
        <v>7584.2328929999994</v>
      </c>
      <c r="P15" s="3">
        <f>1372.72403+4467.537132</f>
        <v>5840.2611620000007</v>
      </c>
      <c r="Q15" s="3">
        <f>1256.085485+4960.675814</f>
        <v>6216.7612989999998</v>
      </c>
      <c r="R15" s="3">
        <f>2254.666256+4441.190114</f>
        <v>6695.8563699999995</v>
      </c>
      <c r="S15" s="3">
        <f>494.5319+6551.516128</f>
        <v>7046.0480280000002</v>
      </c>
      <c r="T15" s="3">
        <f>951.921279+6254.380288</f>
        <v>7206.3015670000004</v>
      </c>
      <c r="U15" s="3">
        <f>3291.558305+8989.400331</f>
        <v>12280.958636000001</v>
      </c>
      <c r="V15" s="3">
        <f>1761.717444+323.719264</f>
        <v>2085.4367079999997</v>
      </c>
      <c r="W15" s="3">
        <f>2245.30198+1428.453163</f>
        <v>3673.7551430000003</v>
      </c>
      <c r="X15" s="22">
        <f>0.054084+0.049523</f>
        <v>0.103607</v>
      </c>
      <c r="Y15" s="22">
        <f>0.015851+0.121281</f>
        <v>0.137132</v>
      </c>
      <c r="Z15" s="22">
        <f>0.00843+0.103487</f>
        <v>0.11191699999999999</v>
      </c>
      <c r="AA15" s="22">
        <f>0.003065+0.051836</f>
        <v>5.4900999999999998E-2</v>
      </c>
      <c r="AB15" s="3">
        <v>0.1</v>
      </c>
      <c r="AC15" s="3">
        <v>0.3</v>
      </c>
      <c r="AD15" s="3">
        <v>0.2</v>
      </c>
      <c r="AE15" s="3">
        <v>0.3</v>
      </c>
      <c r="AF15" s="1"/>
    </row>
    <row r="16" spans="1:32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7">
        <v>0</v>
      </c>
      <c r="I16" s="7">
        <v>0</v>
      </c>
      <c r="J16" s="7">
        <v>1113.083754</v>
      </c>
      <c r="K16" s="7">
        <v>1219.9540420000001</v>
      </c>
      <c r="L16" s="7">
        <v>442.18148400000001</v>
      </c>
      <c r="M16" s="7">
        <v>643.96796800000004</v>
      </c>
      <c r="N16" s="7">
        <v>567.62897399999997</v>
      </c>
      <c r="O16" s="7">
        <v>753.68607599999996</v>
      </c>
      <c r="P16" s="7">
        <v>850.78820800000005</v>
      </c>
      <c r="Q16" s="7">
        <v>743.58829100000003</v>
      </c>
      <c r="R16" s="7">
        <v>964.21039499999995</v>
      </c>
      <c r="S16" s="7">
        <v>1067.2612549999999</v>
      </c>
      <c r="T16" s="7">
        <v>216.696573</v>
      </c>
      <c r="U16" s="7">
        <v>914.73630900000001</v>
      </c>
      <c r="V16" s="7">
        <v>232.67434600000001</v>
      </c>
      <c r="W16" s="7">
        <v>225.49573799999999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1"/>
    </row>
    <row r="17" spans="1:32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1"/>
    </row>
    <row r="18" spans="1:32" x14ac:dyDescent="0.3">
      <c r="A18" s="103"/>
      <c r="B18" s="14">
        <v>15</v>
      </c>
      <c r="C18" s="6" t="s">
        <v>19</v>
      </c>
      <c r="D18" s="7"/>
      <c r="E18" s="7"/>
      <c r="F18" s="7"/>
      <c r="G18" s="7"/>
      <c r="H18" s="7">
        <v>6511.6779999999999</v>
      </c>
      <c r="I18" s="7">
        <v>4798.1319999999996</v>
      </c>
      <c r="J18" s="7">
        <v>7741.0376390000001</v>
      </c>
      <c r="K18" s="7">
        <v>11749.519901</v>
      </c>
      <c r="L18" s="7">
        <v>10167.620865999999</v>
      </c>
      <c r="M18" s="7">
        <v>9973.0203669999992</v>
      </c>
      <c r="N18" s="7">
        <v>11674.515224000001</v>
      </c>
      <c r="O18" s="7">
        <v>14060.989935</v>
      </c>
      <c r="P18" s="7">
        <v>11065.211362</v>
      </c>
      <c r="Q18" s="7">
        <v>11040.360698</v>
      </c>
      <c r="R18" s="7">
        <f>R19+7364.533967</f>
        <v>12518.15848</v>
      </c>
      <c r="S18" s="7">
        <f>S19+9048.030284</f>
        <v>12446.436954000001</v>
      </c>
      <c r="T18" s="7">
        <v>10560.787026</v>
      </c>
      <c r="U18" s="7">
        <v>19200.984855999999</v>
      </c>
      <c r="V18" s="7">
        <v>10291.800474</v>
      </c>
      <c r="W18" s="7">
        <v>10153.580067000001</v>
      </c>
      <c r="X18" s="7">
        <v>65.951367000000005</v>
      </c>
      <c r="Y18" s="7">
        <v>9.8111519999999999</v>
      </c>
      <c r="Z18" s="7">
        <v>9.2643389999999997</v>
      </c>
      <c r="AA18" s="7">
        <v>7.3561629999999996</v>
      </c>
      <c r="AB18" s="7">
        <v>15.4</v>
      </c>
      <c r="AC18" s="7">
        <v>12.6</v>
      </c>
      <c r="AD18" s="7">
        <v>18</v>
      </c>
      <c r="AE18" s="7">
        <v>17.600000000000001</v>
      </c>
      <c r="AF18" s="1"/>
    </row>
    <row r="19" spans="1:32" x14ac:dyDescent="0.3">
      <c r="A19" s="103"/>
      <c r="B19" s="14">
        <v>18</v>
      </c>
      <c r="C19" s="1" t="s">
        <v>21</v>
      </c>
      <c r="D19" s="3"/>
      <c r="E19" s="3"/>
      <c r="F19" s="3"/>
      <c r="G19" s="3"/>
      <c r="H19" s="3">
        <v>4378.9219999999996</v>
      </c>
      <c r="I19" s="3">
        <v>847.32799999999997</v>
      </c>
      <c r="J19" s="3">
        <v>2727.2472819999998</v>
      </c>
      <c r="K19" s="3">
        <v>2620.048405</v>
      </c>
      <c r="L19" s="3">
        <v>2279.9130960000002</v>
      </c>
      <c r="M19" s="3">
        <v>2519.882681</v>
      </c>
      <c r="N19" s="3">
        <v>4077.1519360000002</v>
      </c>
      <c r="O19" s="3">
        <v>4947.519464</v>
      </c>
      <c r="P19" s="3">
        <v>7176.832058</v>
      </c>
      <c r="Q19" s="3">
        <v>7175.6797939999997</v>
      </c>
      <c r="R19" s="3">
        <v>5153.6245129999998</v>
      </c>
      <c r="S19" s="3">
        <v>3398.4066699999998</v>
      </c>
      <c r="T19" s="3">
        <v>2683.679157</v>
      </c>
      <c r="U19" s="3">
        <v>6811.8543719999998</v>
      </c>
      <c r="V19" s="3">
        <v>2994.7634589999998</v>
      </c>
      <c r="W19" s="3">
        <v>3024.5661300000002</v>
      </c>
      <c r="X19" s="3">
        <v>65.863251000000005</v>
      </c>
      <c r="Y19" s="3">
        <v>9.6898710000000001</v>
      </c>
      <c r="Z19" s="3">
        <v>9.1608529999999995</v>
      </c>
      <c r="AA19" s="3">
        <v>7.3043269999999998</v>
      </c>
      <c r="AB19" s="3">
        <v>15.976912</v>
      </c>
      <c r="AC19" s="3">
        <v>12.3</v>
      </c>
      <c r="AD19" s="3">
        <v>17.8</v>
      </c>
      <c r="AE19" s="3">
        <v>17.3</v>
      </c>
      <c r="AF19" s="1"/>
    </row>
    <row r="20" spans="1:32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>
        <f>H21+364.403+25.333</f>
        <v>414.572</v>
      </c>
      <c r="I20" s="7">
        <f>I21+461.51+24.275</f>
        <v>503.22599999999994</v>
      </c>
      <c r="J20" s="7">
        <f>J21+1037.456496+360.320368</f>
        <v>1504.3673409999999</v>
      </c>
      <c r="K20" s="7">
        <f>K21+1209.31754+517.446257</f>
        <v>1858.7649249999999</v>
      </c>
      <c r="L20" s="7">
        <f>L21+1288.87155+353.403303</f>
        <v>1792.0587280000002</v>
      </c>
      <c r="M20" s="7">
        <f>M21+1282.212717+258.903507</f>
        <v>1644.0012060000001</v>
      </c>
      <c r="N20" s="7">
        <v>3972.8610859999999</v>
      </c>
      <c r="O20" s="7">
        <v>6167.9825259999998</v>
      </c>
      <c r="P20" s="7">
        <v>3998.6708239999998</v>
      </c>
      <c r="Q20" s="7">
        <v>3816.3220160000001</v>
      </c>
      <c r="R20" s="7">
        <v>3316.981781</v>
      </c>
      <c r="S20" s="7">
        <v>3699.0526150000001</v>
      </c>
      <c r="T20" s="7">
        <v>8855.4033180000006</v>
      </c>
      <c r="U20" s="7">
        <v>8433.0360409999994</v>
      </c>
      <c r="V20" s="7">
        <v>4102.4792390000002</v>
      </c>
      <c r="W20" s="7">
        <v>3973.1559069999998</v>
      </c>
      <c r="X20" s="7">
        <v>504.10761600000001</v>
      </c>
      <c r="Y20" s="7">
        <v>65.445845000000006</v>
      </c>
      <c r="Z20" s="7">
        <v>29.433479999999999</v>
      </c>
      <c r="AA20" s="7">
        <v>25.37236</v>
      </c>
      <c r="AB20" s="7">
        <v>38.1</v>
      </c>
      <c r="AC20" s="7">
        <v>17.899999999999999</v>
      </c>
      <c r="AD20" s="7">
        <v>20.7</v>
      </c>
      <c r="AE20" s="7">
        <v>19.899999999999999</v>
      </c>
      <c r="AF20" s="1"/>
    </row>
    <row r="21" spans="1:32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>
        <v>24.835999999999999</v>
      </c>
      <c r="I21" s="3">
        <v>17.440999999999999</v>
      </c>
      <c r="J21" s="3">
        <v>106.59047700000001</v>
      </c>
      <c r="K21" s="3">
        <v>132.00112799999999</v>
      </c>
      <c r="L21" s="3">
        <v>149.78387499999999</v>
      </c>
      <c r="M21" s="3">
        <v>102.88498199999999</v>
      </c>
      <c r="N21" s="3">
        <v>193.32378700000001</v>
      </c>
      <c r="O21" s="3">
        <v>170.31814499999999</v>
      </c>
      <c r="P21" s="3">
        <v>130.280564</v>
      </c>
      <c r="Q21" s="3">
        <v>160.59240700000001</v>
      </c>
      <c r="R21" s="3">
        <v>297.38209599999999</v>
      </c>
      <c r="S21" s="3">
        <v>239.87732500000001</v>
      </c>
      <c r="T21" s="3">
        <v>101.515755</v>
      </c>
      <c r="U21" s="3">
        <v>133.506967</v>
      </c>
      <c r="V21" s="3">
        <v>104.925533</v>
      </c>
      <c r="W21" s="3">
        <v>85.872947999999994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1"/>
    </row>
    <row r="22" spans="1:32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>
        <v>304.60399999999998</v>
      </c>
      <c r="I22" s="7">
        <v>382.678</v>
      </c>
      <c r="J22" s="7">
        <v>739.27056400000004</v>
      </c>
      <c r="K22" s="7">
        <f>823.901602+0.881936</f>
        <v>824.78353800000002</v>
      </c>
      <c r="L22" s="7">
        <f>850.993676+0.218562</f>
        <v>851.21223800000007</v>
      </c>
      <c r="M22" s="7">
        <f>953.608046+0.21113</f>
        <v>953.81917599999997</v>
      </c>
      <c r="N22" s="7">
        <f>1215.764622+0.749446</f>
        <v>1216.514068</v>
      </c>
      <c r="O22" s="7">
        <f>1447.291687+0.677552</f>
        <v>1447.969239</v>
      </c>
      <c r="P22" s="7">
        <f>1181.912412+0.916813</f>
        <v>1182.829225</v>
      </c>
      <c r="Q22" s="7">
        <f>1307.429771+1.289741</f>
        <v>1308.7195120000001</v>
      </c>
      <c r="R22" s="7">
        <f>1244.602525+3.384632</f>
        <v>1247.987157</v>
      </c>
      <c r="S22" s="7">
        <f>1398.864344+2.594779</f>
        <v>1401.4591230000001</v>
      </c>
      <c r="T22" s="7">
        <f>1054.0286+1.451332</f>
        <v>1055.4799320000002</v>
      </c>
      <c r="U22" s="7">
        <f>1580.334752+1.225001</f>
        <v>1581.559753</v>
      </c>
      <c r="V22" s="7">
        <f>796.79063+0.380879</f>
        <v>797.17150900000001</v>
      </c>
      <c r="W22" s="7">
        <f>762.936473+0.204316</f>
        <v>763.14078899999993</v>
      </c>
      <c r="X22" s="43">
        <v>6.7430000000000004E-2</v>
      </c>
      <c r="Y22" s="7">
        <v>0.5</v>
      </c>
      <c r="Z22" s="7">
        <v>0.4</v>
      </c>
      <c r="AA22" s="7">
        <v>0.1</v>
      </c>
      <c r="AB22" s="7">
        <v>1.9</v>
      </c>
      <c r="AC22" s="7">
        <v>0.1</v>
      </c>
      <c r="AD22" s="7">
        <v>0.1</v>
      </c>
      <c r="AE22" s="7">
        <v>0.2</v>
      </c>
      <c r="AF22" s="1"/>
    </row>
    <row r="23" spans="1:32" x14ac:dyDescent="0.3">
      <c r="A23" s="103"/>
      <c r="B23" s="14">
        <v>16</v>
      </c>
      <c r="C23" s="1" t="s">
        <v>20</v>
      </c>
      <c r="D23" s="3"/>
      <c r="E23" s="3"/>
      <c r="F23" s="3"/>
      <c r="G23" s="3"/>
      <c r="H23" s="3">
        <v>2165.248</v>
      </c>
      <c r="I23" s="3">
        <v>2758.0819999999999</v>
      </c>
      <c r="J23" s="3">
        <v>4362.1164939999999</v>
      </c>
      <c r="K23" s="3">
        <v>4666.9540420000003</v>
      </c>
      <c r="L23" s="3">
        <v>2720.2684319999998</v>
      </c>
      <c r="M23" s="3">
        <v>2700.5916240000001</v>
      </c>
      <c r="N23" s="3">
        <v>2254.1730109999999</v>
      </c>
      <c r="O23" s="3">
        <v>2582.0773650000001</v>
      </c>
      <c r="P23" s="3">
        <v>3103.0379360000002</v>
      </c>
      <c r="Q23" s="3">
        <v>2081.8101879999999</v>
      </c>
      <c r="R23" s="3">
        <v>1196.2368220000001</v>
      </c>
      <c r="S23" s="3">
        <v>2384.7693770000001</v>
      </c>
      <c r="T23" s="3">
        <v>4609.1451349999998</v>
      </c>
      <c r="U23" s="3">
        <v>3742.8060930000001</v>
      </c>
      <c r="V23" s="3">
        <v>2537.256942</v>
      </c>
      <c r="W23" s="3">
        <v>1866.8151150000001</v>
      </c>
      <c r="X23" s="3">
        <v>1125.5010030000001</v>
      </c>
      <c r="Y23" s="3">
        <v>299.33258599999999</v>
      </c>
      <c r="Z23" s="3">
        <v>107.76364100000001</v>
      </c>
      <c r="AA23" s="3">
        <v>261.75034099999999</v>
      </c>
      <c r="AB23" s="3">
        <v>146.19999999999999</v>
      </c>
      <c r="AC23" s="3">
        <v>131.5</v>
      </c>
      <c r="AD23" s="3">
        <v>165.4</v>
      </c>
      <c r="AE23" s="3">
        <v>134.9</v>
      </c>
      <c r="AF23" s="1"/>
    </row>
    <row r="25" spans="1:32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</row>
    <row r="26" spans="1:32" x14ac:dyDescent="0.3">
      <c r="A26" s="6" t="s">
        <v>65</v>
      </c>
      <c r="B26" s="17" t="s">
        <v>27</v>
      </c>
      <c r="C26" s="6" t="s">
        <v>85</v>
      </c>
      <c r="D26" s="6">
        <f t="shared" ref="D26:AE26" si="1">D4*D5</f>
        <v>0</v>
      </c>
      <c r="E26" s="7">
        <f t="shared" si="1"/>
        <v>0</v>
      </c>
      <c r="F26" s="7">
        <f t="shared" si="1"/>
        <v>0</v>
      </c>
      <c r="G26" s="7">
        <f t="shared" si="1"/>
        <v>0</v>
      </c>
      <c r="H26" s="7">
        <f t="shared" si="1"/>
        <v>6120</v>
      </c>
      <c r="I26" s="7">
        <f t="shared" si="1"/>
        <v>8532</v>
      </c>
      <c r="J26" s="7">
        <f t="shared" si="1"/>
        <v>7632</v>
      </c>
      <c r="K26" s="7">
        <f t="shared" si="1"/>
        <v>6996</v>
      </c>
      <c r="L26" s="7">
        <f t="shared" si="1"/>
        <v>5481.3948558000011</v>
      </c>
      <c r="M26" s="7">
        <f t="shared" si="1"/>
        <v>6672.7962000000007</v>
      </c>
      <c r="N26" s="7">
        <f t="shared" si="1"/>
        <v>8292.0432456226408</v>
      </c>
      <c r="O26" s="7">
        <f t="shared" si="1"/>
        <v>6889.5562200000004</v>
      </c>
      <c r="P26" s="7">
        <f t="shared" si="1"/>
        <v>8024.4595554871794</v>
      </c>
      <c r="Q26" s="7">
        <f t="shared" si="1"/>
        <v>8370.5844978028163</v>
      </c>
      <c r="R26" s="7">
        <f t="shared" si="1"/>
        <v>5262.1520146250004</v>
      </c>
      <c r="S26" s="7">
        <f t="shared" si="1"/>
        <v>6846.6625064743594</v>
      </c>
      <c r="T26" s="7">
        <f t="shared" si="1"/>
        <v>5999.6984934197526</v>
      </c>
      <c r="U26" s="7">
        <f t="shared" si="1"/>
        <v>3849.5812503846146</v>
      </c>
      <c r="V26" s="7">
        <f t="shared" si="1"/>
        <v>2599.3006905000002</v>
      </c>
      <c r="W26" s="7">
        <f t="shared" si="1"/>
        <v>2208.6057387692308</v>
      </c>
      <c r="X26" s="7">
        <f t="shared" si="1"/>
        <v>337.76888573559324</v>
      </c>
      <c r="Y26" s="7">
        <f t="shared" si="1"/>
        <v>189.72245246582278</v>
      </c>
      <c r="Z26" s="7">
        <f t="shared" si="1"/>
        <v>182.93471819999996</v>
      </c>
      <c r="AA26" s="7">
        <f t="shared" si="1"/>
        <v>216.80023924731182</v>
      </c>
      <c r="AB26" s="7">
        <f t="shared" si="1"/>
        <v>146.37244800000002</v>
      </c>
      <c r="AC26" s="7">
        <f t="shared" si="1"/>
        <v>89.330243999999993</v>
      </c>
      <c r="AD26" s="7">
        <f t="shared" si="1"/>
        <v>111.931872</v>
      </c>
      <c r="AE26" s="7">
        <f t="shared" si="1"/>
        <v>67.356438999999995</v>
      </c>
      <c r="AF26" s="1"/>
    </row>
    <row r="27" spans="1:32" x14ac:dyDescent="0.3">
      <c r="A27" s="1" t="s">
        <v>66</v>
      </c>
      <c r="B27" s="2" t="s">
        <v>28</v>
      </c>
      <c r="C27" s="1" t="s">
        <v>47</v>
      </c>
      <c r="D27" s="30" t="e">
        <f t="shared" ref="D27:U27" si="2">D26/D6</f>
        <v>#DIV/0!</v>
      </c>
      <c r="E27" s="30" t="e">
        <f t="shared" si="2"/>
        <v>#DIV/0!</v>
      </c>
      <c r="F27" s="30" t="e">
        <f t="shared" si="2"/>
        <v>#DIV/0!</v>
      </c>
      <c r="G27" s="30" t="e">
        <f t="shared" si="2"/>
        <v>#DIV/0!</v>
      </c>
      <c r="H27" s="30">
        <f t="shared" si="2"/>
        <v>2.0853060544407991</v>
      </c>
      <c r="I27" s="30">
        <f t="shared" si="2"/>
        <v>3.306555094330994</v>
      </c>
      <c r="J27" s="30">
        <f t="shared" si="2"/>
        <v>1.4317064387652494</v>
      </c>
      <c r="K27" s="30">
        <f t="shared" si="2"/>
        <v>1.1846109489723602</v>
      </c>
      <c r="L27" s="30">
        <f t="shared" si="2"/>
        <v>0.98171374800243638</v>
      </c>
      <c r="M27" s="30">
        <f t="shared" si="2"/>
        <v>1.1575967188283283</v>
      </c>
      <c r="N27" s="30">
        <f t="shared" si="2"/>
        <v>1.3895620247386065</v>
      </c>
      <c r="O27" s="30">
        <f t="shared" si="2"/>
        <v>1.0789514332167884</v>
      </c>
      <c r="P27" s="30">
        <f t="shared" si="2"/>
        <v>1.3918576289311022</v>
      </c>
      <c r="Q27" s="30">
        <f t="shared" si="2"/>
        <v>1.3614228065194813</v>
      </c>
      <c r="R27" s="30">
        <f t="shared" si="2"/>
        <v>0.78295500642083427</v>
      </c>
      <c r="S27" s="30">
        <f t="shared" si="2"/>
        <v>1.0091355658485976</v>
      </c>
      <c r="T27" s="30">
        <f t="shared" si="2"/>
        <v>1.6032313020824411</v>
      </c>
      <c r="U27" s="30">
        <f t="shared" si="2"/>
        <v>0.62626948054063503</v>
      </c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1"/>
    </row>
    <row r="28" spans="1:32" x14ac:dyDescent="0.3">
      <c r="A28" s="6" t="s">
        <v>67</v>
      </c>
      <c r="B28" s="17" t="s">
        <v>29</v>
      </c>
      <c r="C28" s="6" t="s">
        <v>48</v>
      </c>
      <c r="D28" s="29" t="e">
        <f t="shared" ref="D28:AD28" si="3">D26/D7</f>
        <v>#DIV/0!</v>
      </c>
      <c r="E28" s="29" t="e">
        <f t="shared" si="3"/>
        <v>#DIV/0!</v>
      </c>
      <c r="F28" s="29" t="e">
        <f t="shared" si="3"/>
        <v>#DIV/0!</v>
      </c>
      <c r="G28" s="29" t="e">
        <f t="shared" si="3"/>
        <v>#DIV/0!</v>
      </c>
      <c r="H28" s="29">
        <f t="shared" si="3"/>
        <v>5.9252202352080072</v>
      </c>
      <c r="I28" s="29">
        <f t="shared" si="3"/>
        <v>8.0432518041224981</v>
      </c>
      <c r="J28" s="29">
        <f t="shared" si="3"/>
        <v>4.226513854097349</v>
      </c>
      <c r="K28" s="29">
        <f t="shared" si="3"/>
        <v>3.3608331697969653</v>
      </c>
      <c r="L28" s="29">
        <f t="shared" si="3"/>
        <v>2.5412115228728518</v>
      </c>
      <c r="M28" s="29">
        <f t="shared" si="3"/>
        <v>2.9838049098272141</v>
      </c>
      <c r="N28" s="29">
        <f t="shared" si="3"/>
        <v>3.509191846584844</v>
      </c>
      <c r="O28" s="29">
        <f t="shared" si="3"/>
        <v>2.760682770506329</v>
      </c>
      <c r="P28" s="29">
        <f t="shared" si="3"/>
        <v>3.8070489723614429</v>
      </c>
      <c r="Q28" s="29">
        <f t="shared" si="3"/>
        <v>4.1056900584628258</v>
      </c>
      <c r="R28" s="29">
        <f t="shared" si="3"/>
        <v>2.4149369912631808</v>
      </c>
      <c r="S28" s="29">
        <f t="shared" si="3"/>
        <v>2.7445643283418129</v>
      </c>
      <c r="T28" s="29">
        <f t="shared" si="3"/>
        <v>5.1177809060134374</v>
      </c>
      <c r="U28" s="29">
        <f t="shared" si="3"/>
        <v>1.8600652402915161</v>
      </c>
      <c r="V28" s="29">
        <f t="shared" si="3"/>
        <v>17.616654359591475</v>
      </c>
      <c r="W28" s="29">
        <f t="shared" si="3"/>
        <v>6.3924836985554689</v>
      </c>
      <c r="X28" s="29">
        <f t="shared" si="3"/>
        <v>13.088724177685345</v>
      </c>
      <c r="Y28" s="29">
        <f t="shared" si="3"/>
        <v>-11.876889386085864</v>
      </c>
      <c r="Z28" s="29">
        <f t="shared" si="3"/>
        <v>-25.99848020894888</v>
      </c>
      <c r="AA28" s="29">
        <f t="shared" si="3"/>
        <v>-108.91720404988274</v>
      </c>
      <c r="AB28" s="29">
        <f t="shared" si="3"/>
        <v>-8.5949763945977686</v>
      </c>
      <c r="AC28" s="29">
        <f t="shared" si="3"/>
        <v>10.854221628189549</v>
      </c>
      <c r="AD28" s="29">
        <f t="shared" si="3"/>
        <v>-35.875599999999999</v>
      </c>
      <c r="AE28" s="29"/>
      <c r="AF28" s="1"/>
    </row>
    <row r="29" spans="1:32" x14ac:dyDescent="0.3">
      <c r="A29" s="15" t="s">
        <v>68</v>
      </c>
      <c r="B29" s="2" t="s">
        <v>30</v>
      </c>
      <c r="C29" s="1" t="s">
        <v>49</v>
      </c>
      <c r="D29" s="3">
        <f t="shared" ref="D29:AD29" si="4">D15-D14</f>
        <v>0</v>
      </c>
      <c r="E29" s="3">
        <f t="shared" si="4"/>
        <v>0</v>
      </c>
      <c r="F29" s="3">
        <f t="shared" si="4"/>
        <v>0</v>
      </c>
      <c r="G29" s="3">
        <f t="shared" si="4"/>
        <v>0</v>
      </c>
      <c r="H29" s="3">
        <f t="shared" si="4"/>
        <v>1467.144</v>
      </c>
      <c r="I29" s="3">
        <f t="shared" si="4"/>
        <v>2757.6350000000002</v>
      </c>
      <c r="J29" s="3">
        <f t="shared" si="4"/>
        <v>2272.6832359999999</v>
      </c>
      <c r="K29" s="3">
        <f t="shared" si="4"/>
        <v>3115.7723619999997</v>
      </c>
      <c r="L29" s="3">
        <f t="shared" si="4"/>
        <v>3347.9868700000002</v>
      </c>
      <c r="M29" s="3">
        <f t="shared" si="4"/>
        <v>2813.8160149999994</v>
      </c>
      <c r="N29" s="3">
        <f t="shared" si="4"/>
        <v>5093.6068759999998</v>
      </c>
      <c r="O29" s="3">
        <f t="shared" si="4"/>
        <v>6972.0744079999995</v>
      </c>
      <c r="P29" s="3">
        <f t="shared" si="4"/>
        <v>5291.7965450000011</v>
      </c>
      <c r="Q29" s="3">
        <f t="shared" si="4"/>
        <v>5552.1184450000001</v>
      </c>
      <c r="R29" s="3">
        <f t="shared" si="4"/>
        <v>5685.2011719999991</v>
      </c>
      <c r="S29" s="3">
        <f t="shared" si="4"/>
        <v>5596.5314790000002</v>
      </c>
      <c r="T29" s="3">
        <f t="shared" si="4"/>
        <v>2441.5688330000003</v>
      </c>
      <c r="U29" s="3">
        <f t="shared" si="4"/>
        <v>7350.9462400000011</v>
      </c>
      <c r="V29" s="3">
        <f t="shared" si="4"/>
        <v>1821.4221109999999</v>
      </c>
      <c r="W29" s="3">
        <f t="shared" si="4"/>
        <v>3131.793028</v>
      </c>
      <c r="X29" s="3">
        <f t="shared" si="4"/>
        <v>-109.40799200000001</v>
      </c>
      <c r="Y29" s="3">
        <f t="shared" si="4"/>
        <v>-64.742239000000012</v>
      </c>
      <c r="Z29" s="3">
        <f t="shared" si="4"/>
        <v>-28.825056</v>
      </c>
      <c r="AA29" s="3">
        <f t="shared" si="4"/>
        <v>-25.097241</v>
      </c>
      <c r="AB29" s="3">
        <f t="shared" si="4"/>
        <v>-38</v>
      </c>
      <c r="AC29" s="3">
        <f t="shared" si="4"/>
        <v>-17.599999999999998</v>
      </c>
      <c r="AD29" s="3">
        <f t="shared" si="4"/>
        <v>-20.5</v>
      </c>
      <c r="AE29" s="3"/>
      <c r="AF29" s="1"/>
    </row>
    <row r="30" spans="1:32" x14ac:dyDescent="0.3">
      <c r="A30" s="6" t="s">
        <v>69</v>
      </c>
      <c r="B30" s="17" t="s">
        <v>31</v>
      </c>
      <c r="C30" s="6" t="s">
        <v>50</v>
      </c>
      <c r="D30" s="7">
        <f t="shared" ref="D30:AD30" si="5">D26+D29+D16+D17</f>
        <v>0</v>
      </c>
      <c r="E30" s="7">
        <f t="shared" si="5"/>
        <v>0</v>
      </c>
      <c r="F30" s="7">
        <f t="shared" si="5"/>
        <v>0</v>
      </c>
      <c r="G30" s="7">
        <f t="shared" si="5"/>
        <v>0</v>
      </c>
      <c r="H30" s="7">
        <f t="shared" si="5"/>
        <v>7587.1440000000002</v>
      </c>
      <c r="I30" s="7">
        <f t="shared" si="5"/>
        <v>11289.635</v>
      </c>
      <c r="J30" s="7">
        <f t="shared" si="5"/>
        <v>11017.76699</v>
      </c>
      <c r="K30" s="7">
        <f t="shared" si="5"/>
        <v>11331.726403999999</v>
      </c>
      <c r="L30" s="7">
        <f t="shared" si="5"/>
        <v>9271.5632098000024</v>
      </c>
      <c r="M30" s="7">
        <f t="shared" si="5"/>
        <v>10130.580183000002</v>
      </c>
      <c r="N30" s="7">
        <f t="shared" si="5"/>
        <v>13953.27909562264</v>
      </c>
      <c r="O30" s="7">
        <f t="shared" si="5"/>
        <v>14615.316703999999</v>
      </c>
      <c r="P30" s="7">
        <f t="shared" si="5"/>
        <v>14167.04430848718</v>
      </c>
      <c r="Q30" s="7">
        <f t="shared" si="5"/>
        <v>14666.291233802816</v>
      </c>
      <c r="R30" s="7">
        <f t="shared" si="5"/>
        <v>11911.563581625</v>
      </c>
      <c r="S30" s="7">
        <f t="shared" si="5"/>
        <v>13510.455240474359</v>
      </c>
      <c r="T30" s="7">
        <f t="shared" si="5"/>
        <v>8657.9638994197521</v>
      </c>
      <c r="U30" s="7">
        <f t="shared" si="5"/>
        <v>12115.263799384615</v>
      </c>
      <c r="V30" s="7">
        <f t="shared" si="5"/>
        <v>4653.3971474999998</v>
      </c>
      <c r="W30" s="7">
        <f t="shared" si="5"/>
        <v>5565.8945047692305</v>
      </c>
      <c r="X30" s="7">
        <f t="shared" si="5"/>
        <v>228.36089373559324</v>
      </c>
      <c r="Y30" s="7">
        <f t="shared" si="5"/>
        <v>124.98021346582277</v>
      </c>
      <c r="Z30" s="7">
        <f t="shared" si="5"/>
        <v>154.10966219999997</v>
      </c>
      <c r="AA30" s="7">
        <f t="shared" si="5"/>
        <v>191.70299824731183</v>
      </c>
      <c r="AB30" s="7">
        <f t="shared" si="5"/>
        <v>108.37244800000002</v>
      </c>
      <c r="AC30" s="7">
        <f t="shared" si="5"/>
        <v>71.730243999999999</v>
      </c>
      <c r="AD30" s="7">
        <f t="shared" si="5"/>
        <v>91.431871999999998</v>
      </c>
      <c r="AE30" s="7"/>
      <c r="AF30" s="1"/>
    </row>
    <row r="31" spans="1:32" x14ac:dyDescent="0.3">
      <c r="A31" s="1" t="s">
        <v>70</v>
      </c>
      <c r="B31" s="2" t="s">
        <v>32</v>
      </c>
      <c r="C31" s="1" t="s">
        <v>51</v>
      </c>
      <c r="D31" s="30" t="e">
        <f t="shared" ref="D31:AD31" si="6">D30/D7</f>
        <v>#DIV/0!</v>
      </c>
      <c r="E31" s="30" t="e">
        <f t="shared" si="6"/>
        <v>#DIV/0!</v>
      </c>
      <c r="F31" s="30" t="e">
        <f t="shared" si="6"/>
        <v>#DIV/0!</v>
      </c>
      <c r="G31" s="30" t="e">
        <f t="shared" si="6"/>
        <v>#DIV/0!</v>
      </c>
      <c r="H31" s="30">
        <f t="shared" si="6"/>
        <v>7.3456697967707552</v>
      </c>
      <c r="I31" s="30">
        <f t="shared" si="6"/>
        <v>10.642918082704465</v>
      </c>
      <c r="J31" s="30">
        <f t="shared" si="6"/>
        <v>6.1015126866419616</v>
      </c>
      <c r="K31" s="30">
        <f t="shared" si="6"/>
        <v>5.4436881031485544</v>
      </c>
      <c r="L31" s="30">
        <f t="shared" si="6"/>
        <v>4.2983590643642984</v>
      </c>
      <c r="M31" s="30">
        <f t="shared" si="6"/>
        <v>4.5299862281772789</v>
      </c>
      <c r="N31" s="30">
        <f t="shared" si="6"/>
        <v>5.9050262745952438</v>
      </c>
      <c r="O31" s="30">
        <f t="shared" si="6"/>
        <v>5.8564371523810781</v>
      </c>
      <c r="P31" s="30">
        <f t="shared" si="6"/>
        <v>6.7212789974303355</v>
      </c>
      <c r="Q31" s="30">
        <f t="shared" si="6"/>
        <v>7.1936728108951691</v>
      </c>
      <c r="R31" s="30">
        <f t="shared" si="6"/>
        <v>5.46652309494322</v>
      </c>
      <c r="S31" s="30">
        <f t="shared" si="6"/>
        <v>5.4158231806519819</v>
      </c>
      <c r="T31" s="30">
        <f t="shared" si="6"/>
        <v>7.3852981742334451</v>
      </c>
      <c r="U31" s="30">
        <f t="shared" si="6"/>
        <v>5.8539304938546088</v>
      </c>
      <c r="V31" s="30">
        <f t="shared" si="6"/>
        <v>31.538209274913594</v>
      </c>
      <c r="W31" s="30">
        <f t="shared" si="6"/>
        <v>16.109661070356562</v>
      </c>
      <c r="X31" s="30">
        <f t="shared" si="6"/>
        <v>8.8491062300352201</v>
      </c>
      <c r="Y31" s="30">
        <f t="shared" si="6"/>
        <v>-7.8239351826340977</v>
      </c>
      <c r="Z31" s="30">
        <f t="shared" si="6"/>
        <v>-21.901895070208152</v>
      </c>
      <c r="AA31" s="30">
        <f t="shared" si="6"/>
        <v>-96.308724794618371</v>
      </c>
      <c r="AB31" s="30">
        <f t="shared" si="6"/>
        <v>-6.3636199647680574</v>
      </c>
      <c r="AC31" s="30">
        <f t="shared" si="6"/>
        <v>8.7157040097205343</v>
      </c>
      <c r="AD31" s="30">
        <f t="shared" si="6"/>
        <v>-29.305087179487177</v>
      </c>
      <c r="AE31" s="30"/>
      <c r="AF31" s="1"/>
    </row>
    <row r="32" spans="1:32" x14ac:dyDescent="0.3">
      <c r="A32" s="18" t="s">
        <v>72</v>
      </c>
      <c r="B32" s="17" t="s">
        <v>33</v>
      </c>
      <c r="C32" s="6" t="s">
        <v>109</v>
      </c>
      <c r="D32" s="27" t="e">
        <f t="shared" ref="D32:U32" si="7">D7/D6</f>
        <v>#DIV/0!</v>
      </c>
      <c r="E32" s="27" t="e">
        <f t="shared" si="7"/>
        <v>#DIV/0!</v>
      </c>
      <c r="F32" s="27" t="e">
        <f t="shared" si="7"/>
        <v>#DIV/0!</v>
      </c>
      <c r="G32" s="27" t="e">
        <f t="shared" si="7"/>
        <v>#DIV/0!</v>
      </c>
      <c r="H32" s="27">
        <f t="shared" si="7"/>
        <v>0.3519373072497437</v>
      </c>
      <c r="I32" s="27">
        <f t="shared" si="7"/>
        <v>0.41109680199695459</v>
      </c>
      <c r="J32" s="27">
        <f t="shared" si="7"/>
        <v>0.33874405436463834</v>
      </c>
      <c r="K32" s="27">
        <f t="shared" si="7"/>
        <v>0.3524753800986572</v>
      </c>
      <c r="L32" s="27">
        <f t="shared" si="7"/>
        <v>0.38631721097053906</v>
      </c>
      <c r="M32" s="27">
        <f t="shared" si="7"/>
        <v>0.38795992158058423</v>
      </c>
      <c r="N32" s="27">
        <f t="shared" si="7"/>
        <v>0.39597778790319837</v>
      </c>
      <c r="O32" s="27">
        <f t="shared" si="7"/>
        <v>0.3908277491147239</v>
      </c>
      <c r="P32" s="27">
        <f t="shared" si="7"/>
        <v>0.36560013780641187</v>
      </c>
      <c r="Q32" s="27">
        <f t="shared" si="7"/>
        <v>0.33159415034587369</v>
      </c>
      <c r="R32" s="27">
        <f t="shared" si="7"/>
        <v>0.32421343051741242</v>
      </c>
      <c r="S32" s="27">
        <f t="shared" si="7"/>
        <v>0.3676851569583317</v>
      </c>
      <c r="T32" s="27">
        <f t="shared" si="7"/>
        <v>0.31326688881867343</v>
      </c>
      <c r="U32" s="27">
        <f t="shared" si="7"/>
        <v>0.33669221217342021</v>
      </c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1"/>
    </row>
    <row r="33" spans="1:32" x14ac:dyDescent="0.3">
      <c r="A33" s="16" t="s">
        <v>73</v>
      </c>
      <c r="B33" s="2" t="s">
        <v>34</v>
      </c>
      <c r="C33" s="1" t="s">
        <v>110</v>
      </c>
      <c r="D33" s="28" t="e">
        <f t="shared" ref="D33:U33" si="8">D8/D6</f>
        <v>#DIV/0!</v>
      </c>
      <c r="E33" s="28" t="e">
        <f t="shared" si="8"/>
        <v>#DIV/0!</v>
      </c>
      <c r="F33" s="28" t="e">
        <f t="shared" si="8"/>
        <v>#DIV/0!</v>
      </c>
      <c r="G33" s="28" t="e">
        <f t="shared" si="8"/>
        <v>#DIV/0!</v>
      </c>
      <c r="H33" s="28">
        <f t="shared" si="8"/>
        <v>0.18484261902173932</v>
      </c>
      <c r="I33" s="28">
        <f t="shared" si="8"/>
        <v>0.23129918704165242</v>
      </c>
      <c r="J33" s="28">
        <f t="shared" si="8"/>
        <v>0.15017076521908582</v>
      </c>
      <c r="K33" s="28">
        <f t="shared" si="8"/>
        <v>0.19035727859278601</v>
      </c>
      <c r="L33" s="28">
        <f t="shared" si="8"/>
        <v>0.22019487058752604</v>
      </c>
      <c r="M33" s="28">
        <f t="shared" si="8"/>
        <v>0.22172809758164241</v>
      </c>
      <c r="N33" s="28">
        <f t="shared" si="8"/>
        <v>0.23930321301864688</v>
      </c>
      <c r="O33" s="28">
        <f t="shared" si="8"/>
        <v>0.22488735081761585</v>
      </c>
      <c r="P33" s="28">
        <f t="shared" si="8"/>
        <v>0.16947569741012777</v>
      </c>
      <c r="Q33" s="28">
        <f t="shared" si="8"/>
        <v>0.14893474952699601</v>
      </c>
      <c r="R33" s="28">
        <f t="shared" si="8"/>
        <v>0.13549695329940431</v>
      </c>
      <c r="S33" s="28">
        <f t="shared" si="8"/>
        <v>0.15574767210744203</v>
      </c>
      <c r="T33" s="28">
        <f t="shared" si="8"/>
        <v>0.1105634256550397</v>
      </c>
      <c r="U33" s="28">
        <f t="shared" si="8"/>
        <v>0.12103935787708667</v>
      </c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1"/>
    </row>
    <row r="34" spans="1:32" x14ac:dyDescent="0.3">
      <c r="A34" s="18" t="s">
        <v>74</v>
      </c>
      <c r="B34" s="17" t="s">
        <v>35</v>
      </c>
      <c r="C34" s="6" t="s">
        <v>54</v>
      </c>
      <c r="D34" s="27" t="e">
        <f t="shared" ref="D34:U34" si="9">D11/D10</f>
        <v>#DIV/0!</v>
      </c>
      <c r="E34" s="27" t="e">
        <f t="shared" si="9"/>
        <v>#DIV/0!</v>
      </c>
      <c r="F34" s="27" t="e">
        <f t="shared" si="9"/>
        <v>#DIV/0!</v>
      </c>
      <c r="G34" s="27" t="e">
        <f t="shared" si="9"/>
        <v>#DIV/0!</v>
      </c>
      <c r="H34" s="27">
        <f t="shared" si="9"/>
        <v>0.60238788797617515</v>
      </c>
      <c r="I34" s="27">
        <f t="shared" si="9"/>
        <v>0.21623497861899979</v>
      </c>
      <c r="J34" s="27">
        <f t="shared" si="9"/>
        <v>0.36576963524120654</v>
      </c>
      <c r="K34" s="27">
        <f t="shared" si="9"/>
        <v>1.2270466089072953</v>
      </c>
      <c r="L34" s="27">
        <f t="shared" si="9"/>
        <v>0.52077551127507438</v>
      </c>
      <c r="M34" s="27">
        <f t="shared" si="9"/>
        <v>0.54148567604498055</v>
      </c>
      <c r="N34" s="27">
        <f t="shared" si="9"/>
        <v>0.23097288395795831</v>
      </c>
      <c r="O34" s="27">
        <f t="shared" si="9"/>
        <v>0.36549607259360034</v>
      </c>
      <c r="P34" s="27">
        <f t="shared" si="9"/>
        <v>0.24881889854750158</v>
      </c>
      <c r="Q34" s="27">
        <f t="shared" si="9"/>
        <v>-0.23561757209213166</v>
      </c>
      <c r="R34" s="27">
        <f t="shared" si="9"/>
        <v>0.24954635859331362</v>
      </c>
      <c r="S34" s="27">
        <f t="shared" si="9"/>
        <v>0.22869959761669381</v>
      </c>
      <c r="T34" s="27">
        <f t="shared" si="9"/>
        <v>0.14596987211781992</v>
      </c>
      <c r="U34" s="27">
        <f t="shared" si="9"/>
        <v>0.32573103475210874</v>
      </c>
      <c r="V34" s="27">
        <f t="shared" ref="V34:AD34" si="10">V11/V10</f>
        <v>0.8333657704199855</v>
      </c>
      <c r="W34" s="27">
        <f t="shared" si="10"/>
        <v>0.12792054889937293</v>
      </c>
      <c r="X34" s="27">
        <f t="shared" si="10"/>
        <v>-4.4435474669341918E-2</v>
      </c>
      <c r="Y34" s="27">
        <f t="shared" si="10"/>
        <v>-8.5173207917677547E-5</v>
      </c>
      <c r="Z34" s="27">
        <f t="shared" si="10"/>
        <v>-3.4847751386989019E-4</v>
      </c>
      <c r="AA34" s="27">
        <f t="shared" si="10"/>
        <v>-3.7441099830466155E-5</v>
      </c>
      <c r="AB34" s="27">
        <f t="shared" si="10"/>
        <v>2.2141592920353981</v>
      </c>
      <c r="AC34" s="27">
        <f t="shared" si="10"/>
        <v>0.61041465766634528</v>
      </c>
      <c r="AD34" s="27">
        <f t="shared" si="10"/>
        <v>-2.0949720670391061E-3</v>
      </c>
      <c r="AE34" s="27"/>
      <c r="AF34" s="1"/>
    </row>
    <row r="35" spans="1:32" x14ac:dyDescent="0.3">
      <c r="A35" s="16" t="s">
        <v>75</v>
      </c>
      <c r="B35" s="2" t="s">
        <v>36</v>
      </c>
      <c r="C35" s="1" t="s">
        <v>108</v>
      </c>
      <c r="D35" s="28" t="e">
        <f t="shared" ref="D35:U35" si="11">D12/D6</f>
        <v>#DIV/0!</v>
      </c>
      <c r="E35" s="28" t="e">
        <f t="shared" si="11"/>
        <v>#DIV/0!</v>
      </c>
      <c r="F35" s="28" t="e">
        <f t="shared" si="11"/>
        <v>#DIV/0!</v>
      </c>
      <c r="G35" s="28" t="e">
        <f t="shared" si="11"/>
        <v>#DIV/0!</v>
      </c>
      <c r="H35" s="28">
        <f t="shared" si="11"/>
        <v>0.14999245269132258</v>
      </c>
      <c r="I35" s="28">
        <f t="shared" si="11"/>
        <v>0.19163602780885691</v>
      </c>
      <c r="J35" s="28">
        <f t="shared" si="11"/>
        <v>0.10136128574773418</v>
      </c>
      <c r="K35" s="28">
        <f t="shared" si="11"/>
        <v>5.2049471603922155E-2</v>
      </c>
      <c r="L35" s="28">
        <f t="shared" si="11"/>
        <v>7.0037803010385993E-2</v>
      </c>
      <c r="M35" s="28">
        <f t="shared" si="11"/>
        <v>4.1676021243438506E-2</v>
      </c>
      <c r="N35" s="28">
        <f t="shared" si="11"/>
        <v>0.12152935199859102</v>
      </c>
      <c r="O35" s="28">
        <f t="shared" si="11"/>
        <v>0.10789514332167884</v>
      </c>
      <c r="P35" s="28">
        <f t="shared" si="11"/>
        <v>0.16549526685461274</v>
      </c>
      <c r="Q35" s="28">
        <f t="shared" si="11"/>
        <v>0.13575985851528538</v>
      </c>
      <c r="R35" s="28">
        <f t="shared" si="11"/>
        <v>0.10353124051845743</v>
      </c>
      <c r="S35" s="28">
        <f t="shared" si="11"/>
        <v>0.1159242623507962</v>
      </c>
      <c r="T35" s="28">
        <f t="shared" si="11"/>
        <v>1.5552303648943442</v>
      </c>
      <c r="U35" s="28">
        <f t="shared" si="11"/>
        <v>6.8801435890379625E-2</v>
      </c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1"/>
    </row>
    <row r="36" spans="1:32" x14ac:dyDescent="0.3">
      <c r="A36" s="18" t="s">
        <v>76</v>
      </c>
      <c r="B36" s="17" t="s">
        <v>37</v>
      </c>
      <c r="C36" s="6" t="s">
        <v>56</v>
      </c>
      <c r="D36" s="29" t="e">
        <f t="shared" ref="D36:G36" si="12">D26/D12</f>
        <v>#DIV/0!</v>
      </c>
      <c r="E36" s="29" t="e">
        <f t="shared" si="12"/>
        <v>#DIV/0!</v>
      </c>
      <c r="F36" s="29" t="e">
        <f t="shared" si="12"/>
        <v>#DIV/0!</v>
      </c>
      <c r="G36" s="29" t="e">
        <f t="shared" si="12"/>
        <v>#DIV/0!</v>
      </c>
      <c r="H36" s="29">
        <f t="shared" ref="H36:U36" si="13">IF(H26/H12&lt;0,0,H26/H12)</f>
        <v>13.902739884734473</v>
      </c>
      <c r="I36" s="29">
        <f t="shared" si="13"/>
        <v>17.254349989079525</v>
      </c>
      <c r="J36" s="29">
        <f t="shared" si="13"/>
        <v>14.124785693114136</v>
      </c>
      <c r="K36" s="29">
        <f t="shared" si="13"/>
        <v>22.75932708763742</v>
      </c>
      <c r="L36" s="29">
        <f t="shared" si="13"/>
        <v>14.016912378831424</v>
      </c>
      <c r="M36" s="29">
        <f t="shared" si="13"/>
        <v>27.776085247355056</v>
      </c>
      <c r="N36" s="29">
        <f t="shared" si="13"/>
        <v>11.433962264150942</v>
      </c>
      <c r="O36" s="29">
        <f t="shared" si="13"/>
        <v>10.000000000000002</v>
      </c>
      <c r="P36" s="29">
        <f t="shared" si="13"/>
        <v>8.4102564102564106</v>
      </c>
      <c r="Q36" s="29">
        <f t="shared" si="13"/>
        <v>10.028169014084506</v>
      </c>
      <c r="R36" s="29">
        <f t="shared" si="13"/>
        <v>7.5625</v>
      </c>
      <c r="S36" s="29">
        <f t="shared" si="13"/>
        <v>8.7051282051282062</v>
      </c>
      <c r="T36" s="29">
        <f t="shared" si="13"/>
        <v>1.0308641975308641</v>
      </c>
      <c r="U36" s="29">
        <f t="shared" si="13"/>
        <v>9.1025641025641004</v>
      </c>
      <c r="V36" s="29">
        <f t="shared" ref="V36:AD36" si="14">IF(V26/V12&lt;0,0,V26/V12)</f>
        <v>11.5</v>
      </c>
      <c r="W36" s="29">
        <f t="shared" si="14"/>
        <v>6.4615384615384608</v>
      </c>
      <c r="X36" s="29">
        <f t="shared" si="14"/>
        <v>0</v>
      </c>
      <c r="Y36" s="29">
        <f t="shared" si="14"/>
        <v>0</v>
      </c>
      <c r="Z36" s="29">
        <f t="shared" si="14"/>
        <v>0</v>
      </c>
      <c r="AA36" s="29">
        <f t="shared" si="14"/>
        <v>0</v>
      </c>
      <c r="AB36" s="29">
        <f t="shared" si="14"/>
        <v>0</v>
      </c>
      <c r="AC36" s="29">
        <f t="shared" si="14"/>
        <v>4.3071477338476374</v>
      </c>
      <c r="AD36" s="29">
        <f t="shared" si="14"/>
        <v>0</v>
      </c>
      <c r="AE36" s="29"/>
      <c r="AF36" s="1"/>
    </row>
    <row r="37" spans="1:32" x14ac:dyDescent="0.3">
      <c r="A37" s="16" t="s">
        <v>77</v>
      </c>
      <c r="B37" s="2" t="s">
        <v>38</v>
      </c>
      <c r="C37" s="1" t="s">
        <v>57</v>
      </c>
      <c r="D37" s="30" t="e">
        <f t="shared" ref="D37:AD37" si="15">D26/D23</f>
        <v>#DIV/0!</v>
      </c>
      <c r="E37" s="30" t="e">
        <f t="shared" si="15"/>
        <v>#DIV/0!</v>
      </c>
      <c r="F37" s="30" t="e">
        <f t="shared" si="15"/>
        <v>#DIV/0!</v>
      </c>
      <c r="G37" s="30" t="e">
        <f t="shared" si="15"/>
        <v>#DIV/0!</v>
      </c>
      <c r="H37" s="30">
        <f t="shared" si="15"/>
        <v>2.8264660676282807</v>
      </c>
      <c r="I37" s="30">
        <f t="shared" si="15"/>
        <v>3.0934540742443484</v>
      </c>
      <c r="J37" s="30">
        <f t="shared" si="15"/>
        <v>1.749609395003012</v>
      </c>
      <c r="K37" s="30">
        <f t="shared" si="15"/>
        <v>1.4990505449678477</v>
      </c>
      <c r="L37" s="30">
        <f t="shared" si="15"/>
        <v>2.0150198382333766</v>
      </c>
      <c r="M37" s="30">
        <f t="shared" si="15"/>
        <v>2.4708645841523205</v>
      </c>
      <c r="N37" s="30">
        <f t="shared" si="15"/>
        <v>3.6785300884886878</v>
      </c>
      <c r="O37" s="30">
        <f t="shared" si="15"/>
        <v>2.6682222281128283</v>
      </c>
      <c r="P37" s="30">
        <f t="shared" si="15"/>
        <v>2.5860011127776232</v>
      </c>
      <c r="Q37" s="30">
        <f t="shared" si="15"/>
        <v>4.0208202198512906</v>
      </c>
      <c r="R37" s="30">
        <f t="shared" si="15"/>
        <v>4.3989216163962892</v>
      </c>
      <c r="S37" s="30">
        <f t="shared" si="15"/>
        <v>2.870995649519513</v>
      </c>
      <c r="T37" s="30">
        <f t="shared" si="15"/>
        <v>1.3016944178781544</v>
      </c>
      <c r="U37" s="30">
        <f t="shared" si="15"/>
        <v>1.0285281029076849</v>
      </c>
      <c r="V37" s="30">
        <f t="shared" si="15"/>
        <v>1.024453080597779</v>
      </c>
      <c r="W37" s="30">
        <f t="shared" si="15"/>
        <v>1.1830875596747195</v>
      </c>
      <c r="X37" s="30">
        <f t="shared" si="15"/>
        <v>0.30010536182133746</v>
      </c>
      <c r="Y37" s="30">
        <f t="shared" si="15"/>
        <v>0.63381823877278365</v>
      </c>
      <c r="Z37" s="30">
        <f t="shared" si="15"/>
        <v>1.6975550983842496</v>
      </c>
      <c r="AA37" s="30">
        <f t="shared" si="15"/>
        <v>0.82827108617715928</v>
      </c>
      <c r="AB37" s="30">
        <f t="shared" si="15"/>
        <v>1.0011795348837211</v>
      </c>
      <c r="AC37" s="30">
        <f t="shared" si="15"/>
        <v>0.67931744486692014</v>
      </c>
      <c r="AD37" s="30">
        <f t="shared" si="15"/>
        <v>0.67673441354292618</v>
      </c>
      <c r="AE37" s="30"/>
      <c r="AF37" s="1"/>
    </row>
    <row r="38" spans="1:32" x14ac:dyDescent="0.3">
      <c r="A38" s="18" t="s">
        <v>78</v>
      </c>
      <c r="B38" s="17" t="s">
        <v>39</v>
      </c>
      <c r="C38" s="6" t="s">
        <v>106</v>
      </c>
      <c r="D38" s="55" t="e">
        <f t="shared" ref="D38:AD38" si="16">D8/D23</f>
        <v>#DIV/0!</v>
      </c>
      <c r="E38" s="55" t="e">
        <f t="shared" si="16"/>
        <v>#DIV/0!</v>
      </c>
      <c r="F38" s="55" t="e">
        <f t="shared" si="16"/>
        <v>#DIV/0!</v>
      </c>
      <c r="G38" s="55" t="e">
        <f t="shared" si="16"/>
        <v>#DIV/0!</v>
      </c>
      <c r="H38" s="55">
        <f t="shared" si="16"/>
        <v>0.25053943012532515</v>
      </c>
      <c r="I38" s="55">
        <f t="shared" si="16"/>
        <v>0.21639240602708695</v>
      </c>
      <c r="J38" s="55">
        <f t="shared" si="16"/>
        <v>0.18351540131977045</v>
      </c>
      <c r="K38" s="55">
        <f t="shared" si="16"/>
        <v>0.24088514668943034</v>
      </c>
      <c r="L38" s="55">
        <f t="shared" si="16"/>
        <v>0.45196171838676841</v>
      </c>
      <c r="M38" s="55">
        <f t="shared" si="16"/>
        <v>0.47327371848502775</v>
      </c>
      <c r="N38" s="55">
        <f t="shared" si="16"/>
        <v>0.63349750042766351</v>
      </c>
      <c r="O38" s="55">
        <f t="shared" si="16"/>
        <v>0.55614127735479368</v>
      </c>
      <c r="P38" s="55">
        <f t="shared" si="16"/>
        <v>0.31487727838078222</v>
      </c>
      <c r="Q38" s="55">
        <f t="shared" si="16"/>
        <v>0.43986324415086397</v>
      </c>
      <c r="R38" s="55">
        <f t="shared" si="16"/>
        <v>0.76127040754142572</v>
      </c>
      <c r="S38" s="55">
        <f t="shared" si="16"/>
        <v>0.44310289338305264</v>
      </c>
      <c r="T38" s="55">
        <f t="shared" si="16"/>
        <v>8.976857787751133E-2</v>
      </c>
      <c r="U38" s="55">
        <f t="shared" si="16"/>
        <v>0.1987840458503817</v>
      </c>
      <c r="V38" s="55">
        <f t="shared" si="16"/>
        <v>5.8042345086231316E-2</v>
      </c>
      <c r="W38" s="55">
        <f t="shared" si="16"/>
        <v>0.18507478711945183</v>
      </c>
      <c r="X38" s="55">
        <f t="shared" si="16"/>
        <v>2.2838750859824865E-2</v>
      </c>
      <c r="Y38" s="55">
        <f t="shared" si="16"/>
        <v>-5.3719510511294616E-2</v>
      </c>
      <c r="Z38" s="55">
        <f t="shared" si="16"/>
        <v>-6.6070521874813049E-2</v>
      </c>
      <c r="AA38" s="55">
        <f t="shared" si="16"/>
        <v>-7.9082991528939394E-3</v>
      </c>
      <c r="AB38" s="55">
        <f t="shared" si="16"/>
        <v>-0.11648426812585501</v>
      </c>
      <c r="AC38" s="55">
        <f t="shared" si="16"/>
        <v>6.2585551330798489E-2</v>
      </c>
      <c r="AD38" s="55">
        <f t="shared" si="16"/>
        <v>-1.8863361547763E-2</v>
      </c>
      <c r="AE38" s="55"/>
      <c r="AF38" s="1"/>
    </row>
    <row r="39" spans="1:32" x14ac:dyDescent="0.3">
      <c r="A39" s="16" t="s">
        <v>79</v>
      </c>
      <c r="B39" s="2" t="s">
        <v>40</v>
      </c>
      <c r="C39" s="1" t="s">
        <v>107</v>
      </c>
      <c r="D39" s="56" t="e">
        <f t="shared" ref="D39:AD39" si="17">D12/D23</f>
        <v>#DIV/0!</v>
      </c>
      <c r="E39" s="56" t="e">
        <f t="shared" si="17"/>
        <v>#DIV/0!</v>
      </c>
      <c r="F39" s="56" t="e">
        <f t="shared" si="17"/>
        <v>#DIV/0!</v>
      </c>
      <c r="G39" s="56" t="e">
        <f t="shared" si="17"/>
        <v>#DIV/0!</v>
      </c>
      <c r="H39" s="56">
        <f t="shared" si="17"/>
        <v>0.20330280873137857</v>
      </c>
      <c r="I39" s="56">
        <f t="shared" si="17"/>
        <v>0.17928545996819528</v>
      </c>
      <c r="J39" s="56">
        <f t="shared" si="17"/>
        <v>0.12386803120531242</v>
      </c>
      <c r="K39" s="56">
        <f t="shared" si="17"/>
        <v>6.5865328056298869E-2</v>
      </c>
      <c r="L39" s="56">
        <f t="shared" si="17"/>
        <v>0.14375632691237289</v>
      </c>
      <c r="M39" s="56">
        <f t="shared" si="17"/>
        <v>8.8956545249212399E-2</v>
      </c>
      <c r="N39" s="56">
        <f t="shared" si="17"/>
        <v>0.3217196282011559</v>
      </c>
      <c r="O39" s="56">
        <f t="shared" si="17"/>
        <v>0.26682222281128276</v>
      </c>
      <c r="P39" s="56">
        <f t="shared" si="17"/>
        <v>0.30748183962904663</v>
      </c>
      <c r="Q39" s="56">
        <f t="shared" si="17"/>
        <v>0.40095257810314838</v>
      </c>
      <c r="R39" s="56">
        <f t="shared" si="17"/>
        <v>0.58167558563917876</v>
      </c>
      <c r="S39" s="56">
        <f t="shared" si="17"/>
        <v>0.32980509670474523</v>
      </c>
      <c r="T39" s="56">
        <f t="shared" si="17"/>
        <v>1.2627215311153357</v>
      </c>
      <c r="U39" s="56">
        <f t="shared" si="17"/>
        <v>0.11299322820675979</v>
      </c>
      <c r="V39" s="56">
        <f t="shared" si="17"/>
        <v>8.908287657371991E-2</v>
      </c>
      <c r="W39" s="56">
        <f t="shared" si="17"/>
        <v>0.18309688423537326</v>
      </c>
      <c r="X39" s="56">
        <f t="shared" si="17"/>
        <v>-0.25698427209664604</v>
      </c>
      <c r="Y39" s="56">
        <f t="shared" si="17"/>
        <v>-2.3181315214374956</v>
      </c>
      <c r="Z39" s="56">
        <f t="shared" si="17"/>
        <v>-0.57405244872897343</v>
      </c>
      <c r="AA39" s="56">
        <f t="shared" si="17"/>
        <v>-3.0811684405790327</v>
      </c>
      <c r="AB39" s="56">
        <f t="shared" si="17"/>
        <v>-3.8645690834473327E-2</v>
      </c>
      <c r="AC39" s="56">
        <f t="shared" si="17"/>
        <v>0.15771863117870721</v>
      </c>
      <c r="AD39" s="56">
        <f t="shared" si="17"/>
        <v>-8.6577992744860943E-2</v>
      </c>
      <c r="AE39" s="56"/>
      <c r="AF39" s="1"/>
    </row>
    <row r="40" spans="1:32" x14ac:dyDescent="0.3">
      <c r="A40" s="18" t="s">
        <v>80</v>
      </c>
      <c r="B40" s="17" t="s">
        <v>41</v>
      </c>
      <c r="C40" s="6" t="s">
        <v>61</v>
      </c>
      <c r="D40" s="7">
        <f t="shared" ref="D40:AD40" si="18">D20-D19</f>
        <v>0</v>
      </c>
      <c r="E40" s="7">
        <f t="shared" si="18"/>
        <v>0</v>
      </c>
      <c r="F40" s="7">
        <f t="shared" si="18"/>
        <v>0</v>
      </c>
      <c r="G40" s="7">
        <f t="shared" si="18"/>
        <v>0</v>
      </c>
      <c r="H40" s="7">
        <f t="shared" si="18"/>
        <v>-3964.3499999999995</v>
      </c>
      <c r="I40" s="7">
        <f t="shared" si="18"/>
        <v>-344.10200000000003</v>
      </c>
      <c r="J40" s="7">
        <f t="shared" si="18"/>
        <v>-1222.8799409999999</v>
      </c>
      <c r="K40" s="7">
        <f t="shared" si="18"/>
        <v>-761.28348000000005</v>
      </c>
      <c r="L40" s="7">
        <f t="shared" si="18"/>
        <v>-487.85436800000002</v>
      </c>
      <c r="M40" s="7">
        <f t="shared" si="18"/>
        <v>-875.88147499999991</v>
      </c>
      <c r="N40" s="7">
        <f t="shared" si="18"/>
        <v>-104.29085000000032</v>
      </c>
      <c r="O40" s="7">
        <f t="shared" si="18"/>
        <v>1220.4630619999998</v>
      </c>
      <c r="P40" s="7">
        <f t="shared" si="18"/>
        <v>-3178.1612340000001</v>
      </c>
      <c r="Q40" s="7">
        <f t="shared" si="18"/>
        <v>-3359.3577779999996</v>
      </c>
      <c r="R40" s="7">
        <f t="shared" si="18"/>
        <v>-1836.6427319999998</v>
      </c>
      <c r="S40" s="7">
        <f t="shared" si="18"/>
        <v>300.64594500000021</v>
      </c>
      <c r="T40" s="7">
        <f t="shared" si="18"/>
        <v>6171.7241610000001</v>
      </c>
      <c r="U40" s="7">
        <f t="shared" si="18"/>
        <v>1621.1816689999996</v>
      </c>
      <c r="V40" s="7">
        <f t="shared" si="18"/>
        <v>1107.7157800000004</v>
      </c>
      <c r="W40" s="7">
        <f t="shared" si="18"/>
        <v>948.58977699999969</v>
      </c>
      <c r="X40" s="7">
        <f t="shared" si="18"/>
        <v>438.24436500000002</v>
      </c>
      <c r="Y40" s="7">
        <f t="shared" si="18"/>
        <v>55.755974000000009</v>
      </c>
      <c r="Z40" s="7">
        <f t="shared" si="18"/>
        <v>20.272627</v>
      </c>
      <c r="AA40" s="7">
        <f t="shared" si="18"/>
        <v>18.068033</v>
      </c>
      <c r="AB40" s="7">
        <f t="shared" si="18"/>
        <v>22.123088000000003</v>
      </c>
      <c r="AC40" s="7">
        <f t="shared" si="18"/>
        <v>5.5999999999999979</v>
      </c>
      <c r="AD40" s="7">
        <f t="shared" si="18"/>
        <v>2.8999999999999986</v>
      </c>
      <c r="AE40" s="7">
        <f t="shared" ref="AE40" si="19">AE20-AE19</f>
        <v>2.5999999999999979</v>
      </c>
      <c r="AF40" s="1"/>
    </row>
    <row r="41" spans="1:32" x14ac:dyDescent="0.3">
      <c r="A41" s="53" t="s">
        <v>96</v>
      </c>
      <c r="B41" s="49" t="s">
        <v>42</v>
      </c>
      <c r="C41" s="52" t="s">
        <v>98</v>
      </c>
      <c r="D41" s="29" t="e">
        <f t="shared" ref="D41:L41" si="20">D20/D19</f>
        <v>#DIV/0!</v>
      </c>
      <c r="E41" s="29" t="e">
        <f t="shared" si="20"/>
        <v>#DIV/0!</v>
      </c>
      <c r="F41" s="29" t="e">
        <f t="shared" si="20"/>
        <v>#DIV/0!</v>
      </c>
      <c r="G41" s="29" t="e">
        <f t="shared" si="20"/>
        <v>#DIV/0!</v>
      </c>
      <c r="H41" s="29">
        <f t="shared" si="20"/>
        <v>9.4674442705305104E-2</v>
      </c>
      <c r="I41" s="29">
        <f t="shared" si="20"/>
        <v>0.59389752256505146</v>
      </c>
      <c r="J41" s="29">
        <f t="shared" si="20"/>
        <v>0.55160650481858287</v>
      </c>
      <c r="K41" s="29">
        <f t="shared" si="20"/>
        <v>0.70943915442661443</v>
      </c>
      <c r="L41" s="29">
        <f t="shared" si="20"/>
        <v>0.78602062997229261</v>
      </c>
      <c r="M41" s="29">
        <f t="shared" ref="M41:AD41" si="21">M20/M19</f>
        <v>0.65241180408747768</v>
      </c>
      <c r="N41" s="29">
        <f t="shared" si="21"/>
        <v>0.97442066137414596</v>
      </c>
      <c r="O41" s="29">
        <f t="shared" si="21"/>
        <v>1.2466818111339522</v>
      </c>
      <c r="P41" s="29">
        <f t="shared" si="21"/>
        <v>0.55716377249523197</v>
      </c>
      <c r="Q41" s="29">
        <f t="shared" si="21"/>
        <v>0.53184118098344457</v>
      </c>
      <c r="R41" s="29">
        <f t="shared" si="21"/>
        <v>0.64362115878503079</v>
      </c>
      <c r="S41" s="29">
        <f t="shared" si="21"/>
        <v>1.0884667357953368</v>
      </c>
      <c r="T41" s="29">
        <f t="shared" si="21"/>
        <v>3.2997250416101065</v>
      </c>
      <c r="U41" s="29">
        <f t="shared" si="21"/>
        <v>1.2379941761033291</v>
      </c>
      <c r="V41" s="29">
        <f t="shared" si="21"/>
        <v>1.3698842313141768</v>
      </c>
      <c r="W41" s="29">
        <f t="shared" si="21"/>
        <v>1.3136283804778306</v>
      </c>
      <c r="X41" s="29">
        <f t="shared" si="21"/>
        <v>7.6538526165372547</v>
      </c>
      <c r="Y41" s="29">
        <f t="shared" si="21"/>
        <v>6.7540470869013634</v>
      </c>
      <c r="Z41" s="29">
        <f t="shared" si="21"/>
        <v>3.2129628103409149</v>
      </c>
      <c r="AA41" s="29">
        <f t="shared" si="21"/>
        <v>3.4736068086765557</v>
      </c>
      <c r="AB41" s="29">
        <f t="shared" si="21"/>
        <v>2.3846911092706775</v>
      </c>
      <c r="AC41" s="29">
        <f t="shared" si="21"/>
        <v>1.4552845528455283</v>
      </c>
      <c r="AD41" s="29">
        <f t="shared" si="21"/>
        <v>1.1629213483146066</v>
      </c>
      <c r="AE41" s="29">
        <f t="shared" ref="AE41" si="22">AE20/AE19</f>
        <v>1.1502890173410403</v>
      </c>
      <c r="AF41" s="1"/>
    </row>
    <row r="42" spans="1:32" x14ac:dyDescent="0.3">
      <c r="A42" s="16" t="s">
        <v>81</v>
      </c>
      <c r="B42" s="17" t="s">
        <v>43</v>
      </c>
      <c r="C42" s="1" t="s">
        <v>60</v>
      </c>
      <c r="D42" s="30" t="e">
        <f t="shared" ref="D42:AD42" si="23">(D20-D21)/D19</f>
        <v>#DIV/0!</v>
      </c>
      <c r="E42" s="30" t="e">
        <f t="shared" si="23"/>
        <v>#DIV/0!</v>
      </c>
      <c r="F42" s="30" t="e">
        <f t="shared" si="23"/>
        <v>#DIV/0!</v>
      </c>
      <c r="G42" s="30" t="e">
        <f t="shared" si="23"/>
        <v>#DIV/0!</v>
      </c>
      <c r="H42" s="30">
        <f t="shared" si="23"/>
        <v>8.9002727155222228E-2</v>
      </c>
      <c r="I42" s="30">
        <f t="shared" si="23"/>
        <v>0.57331399410853878</v>
      </c>
      <c r="J42" s="30">
        <f t="shared" si="23"/>
        <v>0.51252296527176444</v>
      </c>
      <c r="K42" s="30">
        <f t="shared" si="23"/>
        <v>0.65905797530484944</v>
      </c>
      <c r="L42" s="30">
        <f t="shared" si="23"/>
        <v>0.72032344385463365</v>
      </c>
      <c r="M42" s="30">
        <f t="shared" si="23"/>
        <v>0.61158252946459302</v>
      </c>
      <c r="N42" s="30">
        <f t="shared" si="23"/>
        <v>0.92700428100994858</v>
      </c>
      <c r="O42" s="30">
        <f t="shared" si="23"/>
        <v>1.2122568540945107</v>
      </c>
      <c r="P42" s="30">
        <f t="shared" si="23"/>
        <v>0.53901083775367331</v>
      </c>
      <c r="Q42" s="30">
        <f t="shared" si="23"/>
        <v>0.50946108437792426</v>
      </c>
      <c r="R42" s="30">
        <f t="shared" si="23"/>
        <v>0.58591767354860069</v>
      </c>
      <c r="S42" s="30">
        <f t="shared" si="23"/>
        <v>1.0178815032751805</v>
      </c>
      <c r="T42" s="30">
        <f t="shared" si="23"/>
        <v>3.2618979583184204</v>
      </c>
      <c r="U42" s="30">
        <f t="shared" si="23"/>
        <v>1.2183949657108142</v>
      </c>
      <c r="V42" s="30">
        <f t="shared" si="23"/>
        <v>1.334847897247567</v>
      </c>
      <c r="W42" s="30">
        <f t="shared" si="23"/>
        <v>1.2852365568875823</v>
      </c>
      <c r="X42" s="30">
        <f t="shared" si="23"/>
        <v>7.6538526165372547</v>
      </c>
      <c r="Y42" s="30">
        <f t="shared" si="23"/>
        <v>6.7540470869013634</v>
      </c>
      <c r="Z42" s="30">
        <f t="shared" si="23"/>
        <v>3.2129628103409149</v>
      </c>
      <c r="AA42" s="30">
        <f t="shared" si="23"/>
        <v>3.4736068086765557</v>
      </c>
      <c r="AB42" s="30">
        <f t="shared" si="23"/>
        <v>2.3846911092706775</v>
      </c>
      <c r="AC42" s="30">
        <f t="shared" si="23"/>
        <v>1.4552845528455283</v>
      </c>
      <c r="AD42" s="30">
        <f t="shared" si="23"/>
        <v>1.1629213483146066</v>
      </c>
      <c r="AE42" s="30">
        <f t="shared" ref="AE42" si="24">(AE20-AE21)/AE19</f>
        <v>1.1502890173410403</v>
      </c>
      <c r="AF42" s="1"/>
    </row>
    <row r="43" spans="1:32" x14ac:dyDescent="0.3">
      <c r="A43" s="18" t="s">
        <v>82</v>
      </c>
      <c r="B43" s="49" t="s">
        <v>44</v>
      </c>
      <c r="C43" s="6" t="s">
        <v>62</v>
      </c>
      <c r="D43" s="29" t="e">
        <f t="shared" ref="D43:AD43" si="25">D14/D19</f>
        <v>#DIV/0!</v>
      </c>
      <c r="E43" s="29" t="e">
        <f t="shared" si="25"/>
        <v>#DIV/0!</v>
      </c>
      <c r="F43" s="29" t="e">
        <f t="shared" si="25"/>
        <v>#DIV/0!</v>
      </c>
      <c r="G43" s="29" t="e">
        <f t="shared" si="25"/>
        <v>#DIV/0!</v>
      </c>
      <c r="H43" s="29">
        <f t="shared" si="25"/>
        <v>0.2442946003605454</v>
      </c>
      <c r="I43" s="29">
        <f t="shared" si="25"/>
        <v>3.0196098795271725E-2</v>
      </c>
      <c r="J43" s="29">
        <f t="shared" si="25"/>
        <v>0.16703206783139074</v>
      </c>
      <c r="K43" s="29">
        <f t="shared" si="25"/>
        <v>0.46756778564173129</v>
      </c>
      <c r="L43" s="29">
        <f t="shared" si="25"/>
        <v>0.99479354146400323</v>
      </c>
      <c r="M43" s="29">
        <f t="shared" si="25"/>
        <v>1.0034379731506238</v>
      </c>
      <c r="N43" s="29">
        <f t="shared" si="25"/>
        <v>0.10500442728656752</v>
      </c>
      <c r="O43" s="29">
        <f t="shared" si="25"/>
        <v>0.12373038437833218</v>
      </c>
      <c r="P43" s="29">
        <f t="shared" si="25"/>
        <v>7.6421548193903691E-2</v>
      </c>
      <c r="Q43" s="29">
        <f t="shared" si="25"/>
        <v>9.26243747046442E-2</v>
      </c>
      <c r="R43" s="29">
        <f t="shared" si="25"/>
        <v>0.19610571073826311</v>
      </c>
      <c r="S43" s="29">
        <f t="shared" si="25"/>
        <v>0.42652827920679665</v>
      </c>
      <c r="T43" s="29">
        <f t="shared" si="25"/>
        <v>1.7754479784112285</v>
      </c>
      <c r="U43" s="29">
        <f t="shared" si="25"/>
        <v>0.72374013400297044</v>
      </c>
      <c r="V43" s="29">
        <f t="shared" si="25"/>
        <v>8.8158747966077672E-2</v>
      </c>
      <c r="W43" s="29">
        <f t="shared" si="25"/>
        <v>0.17918673016417069</v>
      </c>
      <c r="X43" s="29">
        <f t="shared" si="25"/>
        <v>1.6627117146100181</v>
      </c>
      <c r="Y43" s="29">
        <f t="shared" si="25"/>
        <v>6.6955866595128049</v>
      </c>
      <c r="Z43" s="29">
        <f t="shared" si="25"/>
        <v>3.1587640364931082</v>
      </c>
      <c r="AA43" s="29">
        <f t="shared" si="25"/>
        <v>3.4434578298589318</v>
      </c>
      <c r="AB43" s="29">
        <f t="shared" si="25"/>
        <v>2.3846911092706775</v>
      </c>
      <c r="AC43" s="29">
        <f t="shared" si="25"/>
        <v>1.4552845528455283</v>
      </c>
      <c r="AD43" s="29">
        <f t="shared" si="25"/>
        <v>1.1629213483146066</v>
      </c>
      <c r="AE43" s="29">
        <f t="shared" ref="AE43" si="26">AE14/AE19</f>
        <v>1.1271676300578035</v>
      </c>
      <c r="AF43" s="1"/>
    </row>
    <row r="44" spans="1:32" x14ac:dyDescent="0.3">
      <c r="A44" s="16" t="s">
        <v>83</v>
      </c>
      <c r="B44" s="17" t="s">
        <v>45</v>
      </c>
      <c r="C44" s="1" t="s">
        <v>63</v>
      </c>
      <c r="D44" s="30" t="e">
        <f t="shared" ref="D44:AD44" si="27">D29/D7</f>
        <v>#DIV/0!</v>
      </c>
      <c r="E44" s="30" t="e">
        <f t="shared" si="27"/>
        <v>#DIV/0!</v>
      </c>
      <c r="F44" s="30" t="e">
        <f t="shared" si="27"/>
        <v>#DIV/0!</v>
      </c>
      <c r="G44" s="30" t="e">
        <f t="shared" si="27"/>
        <v>#DIV/0!</v>
      </c>
      <c r="H44" s="30">
        <f t="shared" si="27"/>
        <v>1.4204495615627477</v>
      </c>
      <c r="I44" s="30">
        <f t="shared" si="27"/>
        <v>2.5996662785819673</v>
      </c>
      <c r="J44" s="30">
        <f t="shared" si="27"/>
        <v>1.2585858468198106</v>
      </c>
      <c r="K44" s="30">
        <f t="shared" si="27"/>
        <v>1.4967968987630413</v>
      </c>
      <c r="L44" s="30">
        <f t="shared" si="27"/>
        <v>1.5521492314075032</v>
      </c>
      <c r="M44" s="30">
        <f t="shared" si="27"/>
        <v>1.2582248564563447</v>
      </c>
      <c r="N44" s="30">
        <f t="shared" si="27"/>
        <v>2.1556139047397749</v>
      </c>
      <c r="O44" s="30">
        <f t="shared" si="27"/>
        <v>2.7937482587018807</v>
      </c>
      <c r="P44" s="30">
        <f t="shared" si="27"/>
        <v>2.5105900851368901</v>
      </c>
      <c r="Q44" s="30">
        <f t="shared" si="27"/>
        <v>2.7232599478600434</v>
      </c>
      <c r="R44" s="30">
        <f t="shared" si="27"/>
        <v>2.6090851375782602</v>
      </c>
      <c r="S44" s="30">
        <f t="shared" si="27"/>
        <v>2.2434347603932054</v>
      </c>
      <c r="T44" s="30">
        <f t="shared" si="27"/>
        <v>2.0826737156791162</v>
      </c>
      <c r="U44" s="30">
        <f t="shared" si="27"/>
        <v>3.5518771250534105</v>
      </c>
      <c r="V44" s="30">
        <f t="shared" si="27"/>
        <v>12.344614030103669</v>
      </c>
      <c r="W44" s="30">
        <f t="shared" si="27"/>
        <v>9.0645132027484436</v>
      </c>
      <c r="X44" s="30">
        <f t="shared" si="27"/>
        <v>-4.2396179476501237</v>
      </c>
      <c r="Y44" s="30">
        <f t="shared" si="27"/>
        <v>4.0529542034517672</v>
      </c>
      <c r="Z44" s="30">
        <f t="shared" si="27"/>
        <v>4.0965851387407293</v>
      </c>
      <c r="AA44" s="30">
        <f t="shared" si="27"/>
        <v>12.608479255264369</v>
      </c>
      <c r="AB44" s="30">
        <f t="shared" si="27"/>
        <v>2.2313564298297122</v>
      </c>
      <c r="AC44" s="30">
        <f t="shared" si="27"/>
        <v>-2.1385176184690153</v>
      </c>
      <c r="AD44" s="30">
        <f t="shared" si="27"/>
        <v>6.5705128205128203</v>
      </c>
      <c r="AE44" s="30"/>
      <c r="AF44" s="1"/>
    </row>
    <row r="45" spans="1:32" x14ac:dyDescent="0.3">
      <c r="A45" s="18" t="s">
        <v>84</v>
      </c>
      <c r="B45" s="54" t="s">
        <v>99</v>
      </c>
      <c r="C45" s="6" t="s">
        <v>64</v>
      </c>
      <c r="D45" s="29" t="e">
        <f t="shared" ref="D45:AD45" si="28">D18/D23</f>
        <v>#DIV/0!</v>
      </c>
      <c r="E45" s="29" t="e">
        <f t="shared" si="28"/>
        <v>#DIV/0!</v>
      </c>
      <c r="F45" s="29" t="e">
        <f t="shared" si="28"/>
        <v>#DIV/0!</v>
      </c>
      <c r="G45" s="29" t="e">
        <f t="shared" si="28"/>
        <v>#DIV/0!</v>
      </c>
      <c r="H45" s="29">
        <f t="shared" si="28"/>
        <v>3.0073589722747691</v>
      </c>
      <c r="I45" s="29">
        <f t="shared" si="28"/>
        <v>1.7396625626069131</v>
      </c>
      <c r="J45" s="29">
        <f t="shared" si="28"/>
        <v>1.7746058936407672</v>
      </c>
      <c r="K45" s="29">
        <f t="shared" si="28"/>
        <v>2.5175992296604663</v>
      </c>
      <c r="L45" s="29">
        <f t="shared" si="28"/>
        <v>3.7377270369323612</v>
      </c>
      <c r="M45" s="29">
        <f t="shared" si="28"/>
        <v>3.6929020583380137</v>
      </c>
      <c r="N45" s="29">
        <f t="shared" si="28"/>
        <v>5.1790679628538951</v>
      </c>
      <c r="O45" s="29">
        <f t="shared" si="28"/>
        <v>5.445611400183588</v>
      </c>
      <c r="P45" s="29">
        <f t="shared" si="28"/>
        <v>3.5659284837051373</v>
      </c>
      <c r="Q45" s="29">
        <f t="shared" si="28"/>
        <v>5.3032503931621653</v>
      </c>
      <c r="R45" s="29">
        <f t="shared" si="28"/>
        <v>10.464615575928159</v>
      </c>
      <c r="S45" s="29">
        <f t="shared" si="28"/>
        <v>5.2191365228185758</v>
      </c>
      <c r="T45" s="29">
        <f t="shared" si="28"/>
        <v>2.2912680587568439</v>
      </c>
      <c r="U45" s="29">
        <f t="shared" si="28"/>
        <v>5.1301040927315809</v>
      </c>
      <c r="V45" s="29">
        <f t="shared" si="28"/>
        <v>4.056270495761245</v>
      </c>
      <c r="W45" s="29">
        <f t="shared" si="28"/>
        <v>5.4389853528692909</v>
      </c>
      <c r="X45" s="29">
        <f t="shared" si="28"/>
        <v>5.8597341827513236E-2</v>
      </c>
      <c r="Y45" s="29">
        <f t="shared" si="28"/>
        <v>3.277675889253167E-2</v>
      </c>
      <c r="Z45" s="29">
        <f t="shared" si="28"/>
        <v>8.5969060752132523E-2</v>
      </c>
      <c r="AA45" s="29">
        <f t="shared" si="28"/>
        <v>2.8103737981376688E-2</v>
      </c>
      <c r="AB45" s="29">
        <f t="shared" si="28"/>
        <v>0.10533515731874146</v>
      </c>
      <c r="AC45" s="29">
        <f t="shared" si="28"/>
        <v>9.5817490494296581E-2</v>
      </c>
      <c r="AD45" s="29">
        <f t="shared" si="28"/>
        <v>0.10882708585247884</v>
      </c>
      <c r="AE45" s="29">
        <f t="shared" ref="AE45" si="29">AE18/AE23</f>
        <v>0.13046701260192736</v>
      </c>
      <c r="AF45" s="1"/>
    </row>
    <row r="46" spans="1:32" x14ac:dyDescent="0.3">
      <c r="A46" s="18" t="s">
        <v>97</v>
      </c>
      <c r="B46" s="17" t="s">
        <v>100</v>
      </c>
      <c r="C46" s="6" t="s">
        <v>111</v>
      </c>
      <c r="D46" s="28">
        <f t="shared" ref="D46:AE46" si="30">D13/D4</f>
        <v>0</v>
      </c>
      <c r="E46" s="28">
        <f t="shared" si="30"/>
        <v>0</v>
      </c>
      <c r="F46" s="28">
        <f t="shared" si="30"/>
        <v>0</v>
      </c>
      <c r="G46" s="28">
        <f t="shared" si="30"/>
        <v>0</v>
      </c>
      <c r="H46" s="28">
        <f t="shared" si="30"/>
        <v>2.7349019607843139E-2</v>
      </c>
      <c r="I46" s="28">
        <f t="shared" si="30"/>
        <v>2.235267229254571E-2</v>
      </c>
      <c r="J46" s="28">
        <f t="shared" si="30"/>
        <v>3.5198792583857441E-2</v>
      </c>
      <c r="K46" s="28">
        <f t="shared" si="30"/>
        <v>5.4067294168096058E-3</v>
      </c>
      <c r="L46" s="28">
        <f t="shared" si="30"/>
        <v>2.3540715893412389E-2</v>
      </c>
      <c r="M46" s="28">
        <f t="shared" si="30"/>
        <v>3.4096053765286578E-2</v>
      </c>
      <c r="N46" s="28">
        <f t="shared" si="30"/>
        <v>3.5823780243405455E-2</v>
      </c>
      <c r="O46" s="28">
        <f t="shared" si="30"/>
        <v>6.4650776156958342E-2</v>
      </c>
      <c r="P46" s="28">
        <f t="shared" si="30"/>
        <v>6.8815643992173436E-2</v>
      </c>
      <c r="Q46" s="28">
        <f t="shared" si="30"/>
        <v>6.6032063608590846E-2</v>
      </c>
      <c r="R46" s="28">
        <f t="shared" si="30"/>
        <v>0.10919751679597743</v>
      </c>
      <c r="S46" s="28">
        <f t="shared" si="30"/>
        <v>8.5956647117261267E-2</v>
      </c>
      <c r="T46" s="28">
        <f t="shared" si="30"/>
        <v>0.24200635900161677</v>
      </c>
      <c r="U46" s="28">
        <f t="shared" si="30"/>
        <v>0.31329523513226326</v>
      </c>
      <c r="V46" s="28">
        <f t="shared" si="30"/>
        <v>0.21902703564876386</v>
      </c>
      <c r="W46" s="28">
        <f t="shared" si="30"/>
        <v>0.12888609225412456</v>
      </c>
      <c r="X46" s="28">
        <f t="shared" si="30"/>
        <v>0.25931118495196043</v>
      </c>
      <c r="Y46" s="28">
        <f t="shared" si="30"/>
        <v>0</v>
      </c>
      <c r="Z46" s="28">
        <f t="shared" si="30"/>
        <v>0.14196193186034603</v>
      </c>
      <c r="AA46" s="28">
        <f t="shared" si="30"/>
        <v>0</v>
      </c>
      <c r="AB46" s="28">
        <f t="shared" si="30"/>
        <v>0</v>
      </c>
      <c r="AC46" s="28">
        <f t="shared" si="30"/>
        <v>0</v>
      </c>
      <c r="AD46" s="28">
        <f t="shared" si="30"/>
        <v>0</v>
      </c>
      <c r="AE46" s="28">
        <f t="shared" si="30"/>
        <v>0</v>
      </c>
      <c r="AF46" s="1"/>
    </row>
  </sheetData>
  <mergeCells count="3">
    <mergeCell ref="A6:A13"/>
    <mergeCell ref="A14:A23"/>
    <mergeCell ref="AC2:AE2"/>
  </mergeCells>
  <pageMargins left="0.7" right="0.7" top="0.75" bottom="0.75" header="0.3" footer="0.3"/>
  <ignoredErrors>
    <ignoredError sqref="V5" formula="1"/>
  </ignoredError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6A4FB-83BA-4037-BBCA-17DD4CE3B829}">
  <sheetPr codeName="Planilha31"/>
  <dimension ref="A2:K46"/>
  <sheetViews>
    <sheetView topLeftCell="A22" workbookViewId="0">
      <selection activeCell="I26" sqref="I26:K26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10" width="8.33203125" customWidth="1"/>
  </cols>
  <sheetData>
    <row r="2" spans="1:11" x14ac:dyDescent="0.3">
      <c r="H2" s="104" t="s">
        <v>102</v>
      </c>
      <c r="I2" s="104"/>
      <c r="J2" s="104"/>
    </row>
    <row r="3" spans="1:11" s="10" customFormat="1" x14ac:dyDescent="0.3">
      <c r="A3" s="9" t="s">
        <v>25</v>
      </c>
      <c r="B3" s="8" t="s">
        <v>23</v>
      </c>
      <c r="C3" s="9" t="s">
        <v>24</v>
      </c>
      <c r="D3" s="8">
        <v>15</v>
      </c>
      <c r="E3" s="8">
        <v>16</v>
      </c>
      <c r="F3" s="8">
        <v>17</v>
      </c>
      <c r="G3" s="8">
        <v>18</v>
      </c>
      <c r="H3" s="8">
        <v>19</v>
      </c>
      <c r="I3" s="8">
        <v>20</v>
      </c>
      <c r="J3" s="8" t="s">
        <v>3</v>
      </c>
      <c r="K3" s="8" t="s">
        <v>94</v>
      </c>
    </row>
    <row r="4" spans="1:11" x14ac:dyDescent="0.3">
      <c r="A4" s="4" t="s">
        <v>5</v>
      </c>
      <c r="B4" s="11">
        <v>1</v>
      </c>
      <c r="C4" s="6" t="s">
        <v>4</v>
      </c>
      <c r="D4" s="19">
        <v>2</v>
      </c>
      <c r="E4" s="19">
        <v>2</v>
      </c>
      <c r="F4" s="19">
        <v>2</v>
      </c>
      <c r="G4" s="19">
        <v>1.76</v>
      </c>
      <c r="H4" s="19">
        <v>1.35</v>
      </c>
      <c r="I4" s="19">
        <v>0.81</v>
      </c>
      <c r="J4" s="19">
        <v>1.29</v>
      </c>
      <c r="K4" s="1">
        <v>1.2</v>
      </c>
    </row>
    <row r="5" spans="1:11" x14ac:dyDescent="0.3">
      <c r="A5" s="5" t="s">
        <v>8</v>
      </c>
      <c r="B5" s="12">
        <v>3</v>
      </c>
      <c r="C5" s="1" t="s">
        <v>86</v>
      </c>
      <c r="D5" s="22">
        <v>0.17499999999999999</v>
      </c>
      <c r="E5" s="22">
        <v>0.17499999999999999</v>
      </c>
      <c r="F5" s="22">
        <v>0.17499999999999999</v>
      </c>
      <c r="G5" s="3">
        <v>5</v>
      </c>
      <c r="H5" s="3">
        <v>5</v>
      </c>
      <c r="I5" s="3">
        <v>5</v>
      </c>
      <c r="J5" s="3">
        <v>5</v>
      </c>
      <c r="K5" s="3">
        <v>5</v>
      </c>
    </row>
    <row r="6" spans="1:11" x14ac:dyDescent="0.3">
      <c r="A6" s="101" t="s">
        <v>7</v>
      </c>
      <c r="B6" s="13">
        <v>4</v>
      </c>
      <c r="C6" s="6" t="s">
        <v>122</v>
      </c>
      <c r="D6" s="7">
        <v>17.891839999999998</v>
      </c>
      <c r="E6" s="7">
        <v>95.032830000000004</v>
      </c>
      <c r="F6" s="7">
        <v>271.81400000000002</v>
      </c>
      <c r="G6" s="7">
        <v>474.47899999999998</v>
      </c>
      <c r="H6" s="7">
        <v>573.76499999999999</v>
      </c>
      <c r="I6" s="7">
        <v>565.72400000000005</v>
      </c>
      <c r="J6" s="7">
        <v>1100</v>
      </c>
      <c r="K6" s="3">
        <v>1500</v>
      </c>
    </row>
    <row r="7" spans="1:11" x14ac:dyDescent="0.3">
      <c r="A7" s="101"/>
      <c r="B7" s="13">
        <v>5</v>
      </c>
      <c r="C7" s="1" t="s">
        <v>9</v>
      </c>
      <c r="D7" s="3"/>
      <c r="E7" s="3"/>
      <c r="F7" s="7"/>
      <c r="G7" s="3"/>
      <c r="H7" s="3"/>
      <c r="I7" s="3"/>
      <c r="J7" s="3"/>
      <c r="K7" s="1"/>
    </row>
    <row r="8" spans="1:11" x14ac:dyDescent="0.3">
      <c r="A8" s="101"/>
      <c r="B8" s="13">
        <v>6</v>
      </c>
      <c r="C8" s="6" t="s">
        <v>10</v>
      </c>
      <c r="D8" s="7"/>
      <c r="E8" s="7"/>
      <c r="F8" s="7"/>
      <c r="G8" s="7"/>
      <c r="H8" s="7"/>
      <c r="I8" s="7"/>
      <c r="J8" s="7"/>
      <c r="K8" s="1"/>
    </row>
    <row r="9" spans="1:11" x14ac:dyDescent="0.3">
      <c r="A9" s="101"/>
      <c r="B9" s="13">
        <v>11</v>
      </c>
      <c r="C9" s="1" t="s">
        <v>11</v>
      </c>
      <c r="D9" s="3"/>
      <c r="E9" s="3"/>
      <c r="F9" s="3"/>
      <c r="G9" s="3"/>
      <c r="H9" s="3"/>
      <c r="I9" s="3"/>
      <c r="J9" s="3"/>
      <c r="K9" s="1"/>
    </row>
    <row r="10" spans="1:11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/>
      <c r="I10" s="7"/>
      <c r="J10" s="7"/>
      <c r="K10" s="1"/>
    </row>
    <row r="11" spans="1:11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/>
      <c r="I11" s="3"/>
      <c r="J11" s="3"/>
      <c r="K11" s="1"/>
    </row>
    <row r="12" spans="1:11" x14ac:dyDescent="0.3">
      <c r="A12" s="101"/>
      <c r="B12" s="13">
        <v>14</v>
      </c>
      <c r="C12" s="6" t="s">
        <v>123</v>
      </c>
      <c r="D12" s="36">
        <v>-63.23516</v>
      </c>
      <c r="E12" s="36">
        <v>-80</v>
      </c>
      <c r="F12" s="36">
        <v>-20</v>
      </c>
      <c r="G12" s="36">
        <v>-80</v>
      </c>
      <c r="H12" s="7">
        <v>-7.8719999999999999</v>
      </c>
      <c r="I12" s="7">
        <v>-78.055000000000007</v>
      </c>
      <c r="J12" s="7">
        <v>100</v>
      </c>
      <c r="K12" s="1">
        <v>200</v>
      </c>
    </row>
    <row r="13" spans="1:11" x14ac:dyDescent="0.3">
      <c r="A13" s="101"/>
      <c r="B13" s="13">
        <v>2</v>
      </c>
      <c r="C13" s="1" t="s">
        <v>15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/>
      <c r="I14" s="7"/>
      <c r="J14" s="7"/>
      <c r="K14" s="1"/>
    </row>
    <row r="15" spans="1:11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/>
      <c r="I15" s="3"/>
      <c r="J15" s="3"/>
      <c r="K15" s="1"/>
    </row>
    <row r="16" spans="1:11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7"/>
      <c r="I16" s="7"/>
      <c r="J16" s="7"/>
      <c r="K16" s="1"/>
    </row>
    <row r="17" spans="1:11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/>
      <c r="I17" s="3"/>
      <c r="J17" s="3"/>
      <c r="K17" s="1"/>
    </row>
    <row r="18" spans="1:11" x14ac:dyDescent="0.3">
      <c r="A18" s="103"/>
      <c r="B18" s="14">
        <v>15</v>
      </c>
      <c r="C18" s="6" t="s">
        <v>124</v>
      </c>
      <c r="E18" s="7"/>
      <c r="F18" s="7"/>
      <c r="G18" s="7"/>
      <c r="H18" s="7"/>
      <c r="I18" s="7"/>
      <c r="J18" s="7"/>
      <c r="K18" s="1"/>
    </row>
    <row r="19" spans="1:11" x14ac:dyDescent="0.3">
      <c r="A19" s="103"/>
      <c r="B19" s="14">
        <v>18</v>
      </c>
      <c r="C19" s="1" t="s">
        <v>21</v>
      </c>
      <c r="D19" s="3"/>
      <c r="E19" s="3"/>
      <c r="F19" s="7"/>
      <c r="G19" s="3"/>
      <c r="H19" s="3"/>
      <c r="I19" s="3"/>
      <c r="J19" s="3"/>
      <c r="K19" s="1"/>
    </row>
    <row r="20" spans="1:11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/>
      <c r="I20" s="7"/>
      <c r="J20" s="7"/>
      <c r="K20" s="1"/>
    </row>
    <row r="21" spans="1:11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/>
      <c r="I21" s="3"/>
      <c r="J21" s="3"/>
      <c r="K21" s="1"/>
    </row>
    <row r="22" spans="1:11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/>
      <c r="I22" s="7"/>
      <c r="J22" s="7"/>
      <c r="K22" s="1"/>
    </row>
    <row r="23" spans="1:11" x14ac:dyDescent="0.3">
      <c r="A23" s="103"/>
      <c r="B23" s="14">
        <v>16</v>
      </c>
      <c r="C23" s="1" t="s">
        <v>125</v>
      </c>
      <c r="D23" s="3"/>
      <c r="E23" s="3">
        <v>186.31697</v>
      </c>
      <c r="F23" s="3">
        <v>558.04909999999995</v>
      </c>
      <c r="G23" s="3">
        <v>480</v>
      </c>
      <c r="H23" s="3">
        <v>580</v>
      </c>
      <c r="I23" s="3">
        <v>530</v>
      </c>
      <c r="J23" s="3">
        <v>630</v>
      </c>
      <c r="K23" s="1">
        <v>830</v>
      </c>
    </row>
    <row r="25" spans="1:11" x14ac:dyDescent="0.3">
      <c r="A25" s="9" t="s">
        <v>71</v>
      </c>
      <c r="B25" s="8"/>
      <c r="C25" s="9" t="s">
        <v>26</v>
      </c>
      <c r="D25" s="8">
        <v>15</v>
      </c>
      <c r="E25" s="8">
        <v>16</v>
      </c>
      <c r="F25" s="8">
        <v>17</v>
      </c>
      <c r="G25" s="8">
        <v>18</v>
      </c>
      <c r="H25" s="8">
        <v>19</v>
      </c>
      <c r="I25" s="8">
        <v>20</v>
      </c>
      <c r="J25" s="8" t="s">
        <v>3</v>
      </c>
      <c r="K25" s="8" t="s">
        <v>94</v>
      </c>
    </row>
    <row r="26" spans="1:11" x14ac:dyDescent="0.3">
      <c r="A26" s="6" t="s">
        <v>65</v>
      </c>
      <c r="B26" s="17" t="s">
        <v>27</v>
      </c>
      <c r="C26" s="6" t="s">
        <v>85</v>
      </c>
      <c r="D26" s="7">
        <f t="shared" ref="D26:K26" si="0">D4*D5</f>
        <v>0.35</v>
      </c>
      <c r="E26" s="7">
        <f t="shared" si="0"/>
        <v>0.35</v>
      </c>
      <c r="F26" s="7">
        <f t="shared" si="0"/>
        <v>0.35</v>
      </c>
      <c r="G26" s="7">
        <f t="shared" si="0"/>
        <v>8.8000000000000007</v>
      </c>
      <c r="H26" s="7">
        <f t="shared" si="0"/>
        <v>6.75</v>
      </c>
      <c r="I26" s="7">
        <f t="shared" si="0"/>
        <v>4.0500000000000007</v>
      </c>
      <c r="J26" s="7">
        <f t="shared" si="0"/>
        <v>6.45</v>
      </c>
      <c r="K26" s="7">
        <f t="shared" si="0"/>
        <v>6</v>
      </c>
    </row>
    <row r="27" spans="1:11" x14ac:dyDescent="0.3">
      <c r="A27" s="1" t="s">
        <v>66</v>
      </c>
      <c r="B27" s="2" t="s">
        <v>28</v>
      </c>
      <c r="C27" s="1" t="s">
        <v>47</v>
      </c>
      <c r="D27" s="30"/>
      <c r="E27" s="30"/>
      <c r="F27" s="30"/>
      <c r="G27" s="30"/>
      <c r="H27" s="30"/>
      <c r="I27" s="30"/>
      <c r="J27" s="30"/>
      <c r="K27" s="1"/>
    </row>
    <row r="28" spans="1:11" x14ac:dyDescent="0.3">
      <c r="A28" s="6" t="s">
        <v>67</v>
      </c>
      <c r="B28" s="17" t="s">
        <v>29</v>
      </c>
      <c r="C28" s="6" t="s">
        <v>48</v>
      </c>
      <c r="D28" s="29"/>
      <c r="E28" s="29"/>
      <c r="F28" s="29"/>
      <c r="G28" s="29"/>
      <c r="H28" s="29"/>
      <c r="I28" s="29"/>
      <c r="J28" s="29"/>
      <c r="K28" s="1"/>
    </row>
    <row r="29" spans="1:11" x14ac:dyDescent="0.3">
      <c r="A29" s="15" t="s">
        <v>68</v>
      </c>
      <c r="B29" s="2" t="s">
        <v>30</v>
      </c>
      <c r="C29" s="1" t="s">
        <v>49</v>
      </c>
      <c r="D29" s="3"/>
      <c r="E29" s="3"/>
      <c r="F29" s="3"/>
      <c r="G29" s="3"/>
      <c r="H29" s="3"/>
      <c r="I29" s="3"/>
      <c r="J29" s="3"/>
      <c r="K29" s="1"/>
    </row>
    <row r="30" spans="1:11" x14ac:dyDescent="0.3">
      <c r="A30" s="6" t="s">
        <v>69</v>
      </c>
      <c r="B30" s="17" t="s">
        <v>31</v>
      </c>
      <c r="C30" s="6" t="s">
        <v>50</v>
      </c>
      <c r="D30" s="7"/>
      <c r="E30" s="7"/>
      <c r="F30" s="7"/>
      <c r="G30" s="7"/>
      <c r="H30" s="7"/>
      <c r="I30" s="7"/>
      <c r="J30" s="7"/>
      <c r="K30" s="1"/>
    </row>
    <row r="31" spans="1:11" x14ac:dyDescent="0.3">
      <c r="A31" s="1" t="s">
        <v>70</v>
      </c>
      <c r="B31" s="2" t="s">
        <v>32</v>
      </c>
      <c r="C31" s="1" t="s">
        <v>51</v>
      </c>
      <c r="D31" s="30"/>
      <c r="E31" s="30"/>
      <c r="F31" s="30"/>
      <c r="G31" s="30"/>
      <c r="H31" s="30"/>
      <c r="I31" s="30"/>
      <c r="J31" s="30"/>
      <c r="K31" s="1"/>
    </row>
    <row r="32" spans="1:11" x14ac:dyDescent="0.3">
      <c r="A32" s="18" t="s">
        <v>72</v>
      </c>
      <c r="B32" s="17" t="s">
        <v>33</v>
      </c>
      <c r="C32" s="6" t="s">
        <v>109</v>
      </c>
      <c r="D32" s="27"/>
      <c r="E32" s="27"/>
      <c r="F32" s="27"/>
      <c r="G32" s="27"/>
      <c r="H32" s="27"/>
      <c r="I32" s="27"/>
      <c r="J32" s="27"/>
      <c r="K32" s="1"/>
    </row>
    <row r="33" spans="1:11" x14ac:dyDescent="0.3">
      <c r="A33" s="16" t="s">
        <v>73</v>
      </c>
      <c r="B33" s="2" t="s">
        <v>34</v>
      </c>
      <c r="C33" s="1" t="s">
        <v>110</v>
      </c>
      <c r="D33" s="28"/>
      <c r="E33" s="28"/>
      <c r="F33" s="28"/>
      <c r="G33" s="28"/>
      <c r="H33" s="28"/>
      <c r="I33" s="28"/>
      <c r="J33" s="28"/>
      <c r="K33" s="1"/>
    </row>
    <row r="34" spans="1:11" x14ac:dyDescent="0.3">
      <c r="A34" s="18" t="s">
        <v>74</v>
      </c>
      <c r="B34" s="17" t="s">
        <v>35</v>
      </c>
      <c r="C34" s="6" t="s">
        <v>54</v>
      </c>
      <c r="D34" s="27"/>
      <c r="E34" s="27"/>
      <c r="F34" s="27"/>
      <c r="G34" s="27"/>
      <c r="H34" s="27"/>
      <c r="I34" s="27"/>
      <c r="J34" s="27"/>
      <c r="K34" s="1"/>
    </row>
    <row r="35" spans="1:11" x14ac:dyDescent="0.3">
      <c r="A35" s="16" t="s">
        <v>75</v>
      </c>
      <c r="B35" s="2" t="s">
        <v>36</v>
      </c>
      <c r="C35" s="1" t="s">
        <v>108</v>
      </c>
      <c r="D35" s="28"/>
      <c r="E35" s="28"/>
      <c r="F35" s="28"/>
      <c r="G35" s="28"/>
      <c r="H35" s="28"/>
      <c r="I35" s="28"/>
      <c r="J35" s="28"/>
      <c r="K35" s="1"/>
    </row>
    <row r="36" spans="1:11" x14ac:dyDescent="0.3">
      <c r="A36" s="18" t="s">
        <v>76</v>
      </c>
      <c r="B36" s="17" t="s">
        <v>37</v>
      </c>
      <c r="C36" s="6" t="s">
        <v>56</v>
      </c>
      <c r="D36" s="29"/>
      <c r="E36" s="29"/>
      <c r="F36" s="29"/>
      <c r="G36" s="29"/>
      <c r="H36" s="29"/>
      <c r="I36" s="29"/>
      <c r="J36" s="29"/>
      <c r="K36" s="1"/>
    </row>
    <row r="37" spans="1:11" x14ac:dyDescent="0.3">
      <c r="A37" s="16" t="s">
        <v>77</v>
      </c>
      <c r="B37" s="2" t="s">
        <v>38</v>
      </c>
      <c r="C37" s="1" t="s">
        <v>57</v>
      </c>
      <c r="D37" s="30"/>
      <c r="E37" s="30"/>
      <c r="F37" s="30"/>
      <c r="G37" s="30"/>
      <c r="H37" s="30"/>
      <c r="I37" s="30"/>
      <c r="J37" s="30"/>
      <c r="K37" s="1"/>
    </row>
    <row r="38" spans="1:11" x14ac:dyDescent="0.3">
      <c r="A38" s="18" t="s">
        <v>78</v>
      </c>
      <c r="B38" s="17" t="s">
        <v>39</v>
      </c>
      <c r="C38" s="6" t="s">
        <v>106</v>
      </c>
      <c r="D38" s="55"/>
      <c r="E38" s="55"/>
      <c r="F38" s="55"/>
      <c r="G38" s="55"/>
      <c r="H38" s="55"/>
      <c r="I38" s="55"/>
      <c r="J38" s="55"/>
      <c r="K38" s="1"/>
    </row>
    <row r="39" spans="1:11" x14ac:dyDescent="0.3">
      <c r="A39" s="16" t="s">
        <v>79</v>
      </c>
      <c r="B39" s="2" t="s">
        <v>40</v>
      </c>
      <c r="C39" s="1" t="s">
        <v>107</v>
      </c>
      <c r="D39" s="56"/>
      <c r="E39" s="56"/>
      <c r="F39" s="56"/>
      <c r="G39" s="56"/>
      <c r="H39" s="56"/>
      <c r="I39" s="56"/>
      <c r="J39" s="56"/>
      <c r="K39" s="1"/>
    </row>
    <row r="40" spans="1:11" x14ac:dyDescent="0.3">
      <c r="A40" s="18" t="s">
        <v>80</v>
      </c>
      <c r="B40" s="17" t="s">
        <v>41</v>
      </c>
      <c r="C40" s="6" t="s">
        <v>61</v>
      </c>
      <c r="D40" s="7"/>
      <c r="E40" s="7"/>
      <c r="F40" s="7"/>
      <c r="G40" s="7"/>
      <c r="H40" s="7"/>
      <c r="I40" s="7"/>
      <c r="J40" s="7"/>
      <c r="K40" s="1"/>
    </row>
    <row r="41" spans="1:11" x14ac:dyDescent="0.3">
      <c r="A41" s="53" t="s">
        <v>96</v>
      </c>
      <c r="B41" s="49" t="s">
        <v>42</v>
      </c>
      <c r="C41" s="52" t="s">
        <v>98</v>
      </c>
      <c r="D41" s="29"/>
      <c r="E41" s="29"/>
      <c r="F41" s="29"/>
      <c r="G41" s="29"/>
      <c r="H41" s="29"/>
      <c r="I41" s="29"/>
      <c r="J41" s="29"/>
      <c r="K41" s="1"/>
    </row>
    <row r="42" spans="1:11" x14ac:dyDescent="0.3">
      <c r="A42" s="16" t="s">
        <v>81</v>
      </c>
      <c r="B42" s="17" t="s">
        <v>43</v>
      </c>
      <c r="C42" s="1" t="s">
        <v>60</v>
      </c>
      <c r="D42" s="30"/>
      <c r="E42" s="30"/>
      <c r="F42" s="30"/>
      <c r="G42" s="30"/>
      <c r="H42" s="30"/>
      <c r="I42" s="30"/>
      <c r="J42" s="30"/>
      <c r="K42" s="1"/>
    </row>
    <row r="43" spans="1:11" x14ac:dyDescent="0.3">
      <c r="A43" s="18" t="s">
        <v>82</v>
      </c>
      <c r="B43" s="49" t="s">
        <v>44</v>
      </c>
      <c r="C43" s="6" t="s">
        <v>62</v>
      </c>
      <c r="D43" s="29"/>
      <c r="E43" s="29"/>
      <c r="F43" s="29"/>
      <c r="G43" s="29"/>
      <c r="H43" s="29"/>
      <c r="I43" s="29"/>
      <c r="J43" s="29"/>
      <c r="K43" s="1"/>
    </row>
    <row r="44" spans="1:11" x14ac:dyDescent="0.3">
      <c r="A44" s="16" t="s">
        <v>83</v>
      </c>
      <c r="B44" s="17" t="s">
        <v>45</v>
      </c>
      <c r="C44" s="1" t="s">
        <v>63</v>
      </c>
      <c r="D44" s="30"/>
      <c r="E44" s="30"/>
      <c r="F44" s="30"/>
      <c r="G44" s="30"/>
      <c r="H44" s="30"/>
      <c r="I44" s="30"/>
      <c r="J44" s="30"/>
      <c r="K44" s="1"/>
    </row>
    <row r="45" spans="1:11" x14ac:dyDescent="0.3">
      <c r="A45" s="18" t="s">
        <v>84</v>
      </c>
      <c r="B45" s="54" t="s">
        <v>99</v>
      </c>
      <c r="C45" s="6" t="s">
        <v>64</v>
      </c>
      <c r="D45" s="29"/>
      <c r="E45" s="29"/>
      <c r="F45" s="29"/>
      <c r="G45" s="29"/>
      <c r="H45" s="29"/>
      <c r="I45" s="29"/>
      <c r="J45" s="29"/>
      <c r="K45" s="1"/>
    </row>
    <row r="46" spans="1:11" x14ac:dyDescent="0.3">
      <c r="A46" s="18" t="s">
        <v>97</v>
      </c>
      <c r="B46" s="17" t="s">
        <v>100</v>
      </c>
      <c r="C46" s="6" t="s">
        <v>111</v>
      </c>
      <c r="D46" s="28">
        <f t="shared" ref="D46:J46" si="1">D13/D4</f>
        <v>0</v>
      </c>
      <c r="E46" s="28">
        <f t="shared" si="1"/>
        <v>0</v>
      </c>
      <c r="F46" s="28">
        <f t="shared" si="1"/>
        <v>0</v>
      </c>
      <c r="G46" s="28">
        <f t="shared" si="1"/>
        <v>0</v>
      </c>
      <c r="H46" s="28">
        <f t="shared" si="1"/>
        <v>0</v>
      </c>
      <c r="I46" s="28">
        <f t="shared" si="1"/>
        <v>0</v>
      </c>
      <c r="J46" s="28">
        <f t="shared" si="1"/>
        <v>0</v>
      </c>
      <c r="K46" s="1"/>
    </row>
  </sheetData>
  <mergeCells count="3">
    <mergeCell ref="A6:A13"/>
    <mergeCell ref="A14:A23"/>
    <mergeCell ref="H2:J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54059-C22F-4872-83F5-E26DBFB7DA78}">
  <sheetPr codeName="Planilha32"/>
  <dimension ref="A2:T46"/>
  <sheetViews>
    <sheetView topLeftCell="A22" workbookViewId="0">
      <selection activeCell="V38" sqref="V38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18" width="8.33203125" customWidth="1"/>
  </cols>
  <sheetData>
    <row r="2" spans="1:20" x14ac:dyDescent="0.3">
      <c r="P2" s="104" t="s">
        <v>102</v>
      </c>
      <c r="Q2" s="104"/>
      <c r="R2" s="107"/>
    </row>
    <row r="3" spans="1:20" s="10" customFormat="1" x14ac:dyDescent="0.3">
      <c r="A3" s="9" t="s">
        <v>25</v>
      </c>
      <c r="B3" s="8" t="s">
        <v>23</v>
      </c>
      <c r="C3" s="9" t="s">
        <v>24</v>
      </c>
      <c r="D3" s="8">
        <v>7</v>
      </c>
      <c r="E3" s="8">
        <v>8</v>
      </c>
      <c r="F3" s="8">
        <v>9</v>
      </c>
      <c r="G3" s="8">
        <v>10</v>
      </c>
      <c r="H3" s="8">
        <v>11</v>
      </c>
      <c r="I3" s="8">
        <v>12</v>
      </c>
      <c r="J3" s="8">
        <v>13</v>
      </c>
      <c r="K3" s="8">
        <v>14</v>
      </c>
      <c r="L3" s="8">
        <v>15</v>
      </c>
      <c r="M3" s="8">
        <v>16</v>
      </c>
      <c r="N3" s="8">
        <v>17</v>
      </c>
      <c r="O3" s="8">
        <v>18</v>
      </c>
      <c r="P3" s="8">
        <v>19</v>
      </c>
      <c r="Q3" s="8">
        <v>20</v>
      </c>
      <c r="R3" s="8" t="s">
        <v>3</v>
      </c>
      <c r="S3" s="8" t="s">
        <v>94</v>
      </c>
      <c r="T3" s="8" t="s">
        <v>116</v>
      </c>
    </row>
    <row r="4" spans="1:20" x14ac:dyDescent="0.3">
      <c r="A4" s="4" t="s">
        <v>5</v>
      </c>
      <c r="B4" s="11">
        <v>1</v>
      </c>
      <c r="C4" s="6" t="s">
        <v>4</v>
      </c>
      <c r="D4" s="19">
        <v>1.1499999999999999</v>
      </c>
      <c r="E4" s="19">
        <v>0.625</v>
      </c>
      <c r="F4" s="19">
        <v>0.9</v>
      </c>
      <c r="G4" s="19">
        <v>0.73</v>
      </c>
      <c r="H4" s="19">
        <v>0.63</v>
      </c>
      <c r="I4" s="19">
        <v>0.71499999999999997</v>
      </c>
      <c r="J4" s="19">
        <v>1.38</v>
      </c>
      <c r="K4" s="19">
        <v>2.6</v>
      </c>
      <c r="L4" s="19">
        <v>5.29</v>
      </c>
      <c r="M4" s="19">
        <v>5.1100000000000003</v>
      </c>
      <c r="N4" s="19">
        <v>10.53</v>
      </c>
      <c r="O4" s="19">
        <v>7.5</v>
      </c>
      <c r="P4" s="19">
        <v>5.84</v>
      </c>
      <c r="Q4" s="19">
        <v>4.8</v>
      </c>
      <c r="R4" s="19">
        <v>7.08</v>
      </c>
      <c r="S4" s="19">
        <v>7.14</v>
      </c>
      <c r="T4" s="19">
        <v>7.14</v>
      </c>
    </row>
    <row r="5" spans="1:20" x14ac:dyDescent="0.3">
      <c r="A5" s="5" t="s">
        <v>8</v>
      </c>
      <c r="B5" s="12">
        <v>3</v>
      </c>
      <c r="C5" s="1" t="s">
        <v>86</v>
      </c>
      <c r="D5" s="3">
        <v>25.633099999999999</v>
      </c>
      <c r="E5" s="3">
        <v>25.633099999999999</v>
      </c>
      <c r="F5" s="3">
        <v>25.643775999999999</v>
      </c>
      <c r="G5" s="3">
        <v>25.643775999999999</v>
      </c>
      <c r="H5" s="3">
        <v>25.644203000000001</v>
      </c>
      <c r="I5" s="3">
        <v>25.644203000000001</v>
      </c>
      <c r="J5" s="3">
        <v>25.637028999999998</v>
      </c>
      <c r="K5" s="3">
        <v>25.637028999999998</v>
      </c>
      <c r="L5" s="3">
        <v>25.654232</v>
      </c>
      <c r="M5" s="3">
        <v>25.654232</v>
      </c>
      <c r="N5" s="3">
        <v>28.206817000000001</v>
      </c>
      <c r="O5" s="3">
        <v>28.206817000000001</v>
      </c>
      <c r="P5" s="3">
        <v>25.64</v>
      </c>
      <c r="Q5" s="3">
        <v>25.64</v>
      </c>
      <c r="R5" s="3">
        <v>26</v>
      </c>
      <c r="S5" s="3">
        <v>26</v>
      </c>
      <c r="T5" s="1">
        <v>26</v>
      </c>
    </row>
    <row r="6" spans="1:20" x14ac:dyDescent="0.3">
      <c r="A6" s="101" t="s">
        <v>7</v>
      </c>
      <c r="B6" s="13">
        <v>4</v>
      </c>
      <c r="C6" s="6" t="s">
        <v>104</v>
      </c>
      <c r="D6" s="7">
        <v>110.455</v>
      </c>
      <c r="E6" s="7">
        <v>126.212</v>
      </c>
      <c r="F6" s="7">
        <v>97.881</v>
      </c>
      <c r="G6" s="7">
        <v>91.448999999999998</v>
      </c>
      <c r="H6" s="7">
        <v>109.068</v>
      </c>
      <c r="I6" s="7">
        <v>110.596</v>
      </c>
      <c r="J6" s="7">
        <v>105.351</v>
      </c>
      <c r="K6" s="7">
        <v>119.575</v>
      </c>
      <c r="L6" s="7">
        <v>125.81</v>
      </c>
      <c r="M6" s="7">
        <v>135.93</v>
      </c>
      <c r="N6" s="7">
        <v>156.88999999999999</v>
      </c>
      <c r="O6" s="7">
        <v>129.43</v>
      </c>
      <c r="P6" s="7">
        <v>114.03</v>
      </c>
      <c r="Q6" s="7">
        <v>102.7</v>
      </c>
      <c r="R6" s="7">
        <v>126</v>
      </c>
      <c r="S6" s="1">
        <v>130</v>
      </c>
      <c r="T6" s="1">
        <v>135</v>
      </c>
    </row>
    <row r="7" spans="1:20" x14ac:dyDescent="0.3">
      <c r="A7" s="101"/>
      <c r="B7" s="13">
        <v>5</v>
      </c>
      <c r="C7" s="1" t="s">
        <v>9</v>
      </c>
      <c r="D7" s="3">
        <v>13.17</v>
      </c>
      <c r="E7" s="3">
        <v>11.34</v>
      </c>
      <c r="F7" s="3">
        <v>8.7080000000000002</v>
      </c>
      <c r="G7" s="3">
        <v>12.217000000000001</v>
      </c>
      <c r="H7" s="3">
        <v>14.992000000000001</v>
      </c>
      <c r="I7" s="3">
        <v>15.491</v>
      </c>
      <c r="J7" s="3">
        <v>14.465999999999999</v>
      </c>
      <c r="K7" s="3">
        <v>16.170000000000002</v>
      </c>
      <c r="L7" s="3">
        <v>17.87</v>
      </c>
      <c r="M7" s="3">
        <v>21.324999999999999</v>
      </c>
      <c r="N7" s="3">
        <v>24.83</v>
      </c>
      <c r="O7" s="3">
        <v>18.84</v>
      </c>
      <c r="P7" s="3">
        <v>15.57</v>
      </c>
      <c r="Q7" s="3">
        <v>12.99</v>
      </c>
      <c r="R7" s="3">
        <v>18</v>
      </c>
      <c r="S7" s="1">
        <v>16</v>
      </c>
      <c r="T7" s="1">
        <v>18</v>
      </c>
    </row>
    <row r="8" spans="1:20" x14ac:dyDescent="0.3">
      <c r="A8" s="101"/>
      <c r="B8" s="13">
        <v>6</v>
      </c>
      <c r="C8" s="6" t="s">
        <v>10</v>
      </c>
      <c r="D8" s="7">
        <v>11.221</v>
      </c>
      <c r="E8" s="7">
        <v>9.2690000000000001</v>
      </c>
      <c r="F8" s="7">
        <v>7.0679999999999996</v>
      </c>
      <c r="G8" s="7">
        <v>10.837</v>
      </c>
      <c r="H8" s="7">
        <v>13.585000000000001</v>
      </c>
      <c r="I8" s="7">
        <v>14.271000000000001</v>
      </c>
      <c r="J8" s="7">
        <v>12.936</v>
      </c>
      <c r="K8" s="7">
        <v>14.571</v>
      </c>
      <c r="L8" s="7">
        <v>15.473000000000001</v>
      </c>
      <c r="M8" s="7">
        <v>16.606000000000002</v>
      </c>
      <c r="N8" s="7">
        <v>18.899999999999999</v>
      </c>
      <c r="O8" s="7">
        <v>13.58</v>
      </c>
      <c r="P8" s="7">
        <v>12.05</v>
      </c>
      <c r="Q8" s="7">
        <v>9.8000000000000007</v>
      </c>
      <c r="R8" s="7">
        <v>15</v>
      </c>
      <c r="S8" s="1">
        <v>12</v>
      </c>
      <c r="T8" s="1">
        <v>14</v>
      </c>
    </row>
    <row r="9" spans="1:20" x14ac:dyDescent="0.3">
      <c r="A9" s="101"/>
      <c r="B9" s="13">
        <v>11</v>
      </c>
      <c r="C9" s="1" t="s">
        <v>11</v>
      </c>
      <c r="D9" s="3">
        <v>-1.294</v>
      </c>
      <c r="E9" s="3">
        <v>-5.4710000000000001</v>
      </c>
      <c r="F9" s="3">
        <v>-4.4370000000000003</v>
      </c>
      <c r="G9" s="3">
        <v>-3.48</v>
      </c>
      <c r="H9" s="3">
        <v>-4.3170000000000002</v>
      </c>
      <c r="I9" s="3">
        <v>-4.41</v>
      </c>
      <c r="J9" s="3">
        <v>-4.0679999999999996</v>
      </c>
      <c r="K9" s="3">
        <v>-3.073</v>
      </c>
      <c r="L9" s="3">
        <f>L10-L8</f>
        <v>-0.99600000000000044</v>
      </c>
      <c r="M9" s="3">
        <f>M10-M8</f>
        <v>0.14599999999999724</v>
      </c>
      <c r="N9" s="3">
        <v>-1.8640000000000001</v>
      </c>
      <c r="O9" s="3">
        <v>-1.696</v>
      </c>
      <c r="P9" s="3">
        <v>-1.4179999999999999</v>
      </c>
      <c r="Q9" s="3">
        <v>-1.19</v>
      </c>
      <c r="R9" s="3">
        <v>-1</v>
      </c>
      <c r="S9" s="1">
        <v>-2</v>
      </c>
      <c r="T9" s="1">
        <v>-2</v>
      </c>
    </row>
    <row r="10" spans="1:20" x14ac:dyDescent="0.3">
      <c r="A10" s="101"/>
      <c r="B10" s="13">
        <v>12</v>
      </c>
      <c r="C10" s="6" t="s">
        <v>12</v>
      </c>
      <c r="D10" s="7">
        <f>D12+D11</f>
        <v>9.9280000000000008</v>
      </c>
      <c r="E10" s="7">
        <f>E12+E11</f>
        <v>3.7989999999999999</v>
      </c>
      <c r="F10" s="7">
        <v>2.6309999999999998</v>
      </c>
      <c r="G10" s="7">
        <v>7.3570000000000002</v>
      </c>
      <c r="H10" s="7">
        <v>9.2690000000000001</v>
      </c>
      <c r="I10" s="7">
        <v>9.86</v>
      </c>
      <c r="J10" s="7">
        <v>8.8680000000000003</v>
      </c>
      <c r="K10" s="7">
        <v>11.497999999999999</v>
      </c>
      <c r="L10" s="7">
        <v>14.477</v>
      </c>
      <c r="M10" s="7">
        <v>16.751999999999999</v>
      </c>
      <c r="N10" s="7">
        <v>59.777000000000001</v>
      </c>
      <c r="O10" s="7">
        <v>12.01</v>
      </c>
      <c r="P10" s="7">
        <v>10.71</v>
      </c>
      <c r="Q10" s="7">
        <v>8.6940000000000008</v>
      </c>
      <c r="R10" s="7">
        <v>15</v>
      </c>
      <c r="S10" s="1">
        <v>10</v>
      </c>
      <c r="T10" s="1">
        <v>12</v>
      </c>
    </row>
    <row r="11" spans="1:20" x14ac:dyDescent="0.3">
      <c r="A11" s="101"/>
      <c r="B11" s="13">
        <v>13</v>
      </c>
      <c r="C11" s="1" t="s">
        <v>13</v>
      </c>
      <c r="D11" s="3">
        <v>2.5880000000000001</v>
      </c>
      <c r="E11" s="3">
        <v>1.0760000000000001</v>
      </c>
      <c r="F11" s="3">
        <v>0.78100000000000003</v>
      </c>
      <c r="G11" s="3">
        <v>2.2440000000000002</v>
      </c>
      <c r="H11" s="3">
        <v>2.859</v>
      </c>
      <c r="I11" s="3">
        <v>3.6920000000000002</v>
      </c>
      <c r="J11" s="3">
        <v>2.65</v>
      </c>
      <c r="K11" s="3">
        <v>3.41</v>
      </c>
      <c r="L11" s="3">
        <v>3.4260000000000002</v>
      </c>
      <c r="M11" s="3">
        <v>2.8239999999999998</v>
      </c>
      <c r="N11" s="3">
        <v>3.0680000000000001</v>
      </c>
      <c r="O11" s="3">
        <v>3</v>
      </c>
      <c r="P11" s="3">
        <v>2.5830000000000002</v>
      </c>
      <c r="Q11" s="3">
        <v>1.7050000000000001</v>
      </c>
      <c r="R11" s="3">
        <v>3</v>
      </c>
      <c r="S11" s="1">
        <v>2</v>
      </c>
      <c r="T11" s="1">
        <v>2</v>
      </c>
    </row>
    <row r="12" spans="1:20" x14ac:dyDescent="0.3">
      <c r="A12" s="101"/>
      <c r="B12" s="13">
        <v>14</v>
      </c>
      <c r="C12" s="6" t="s">
        <v>114</v>
      </c>
      <c r="D12" s="7">
        <v>7.34</v>
      </c>
      <c r="E12" s="7">
        <v>2.7229999999999999</v>
      </c>
      <c r="F12" s="7">
        <v>1.85</v>
      </c>
      <c r="G12" s="7">
        <v>5.1139999999999999</v>
      </c>
      <c r="H12" s="7">
        <v>6.41</v>
      </c>
      <c r="I12" s="7">
        <v>6.1689999999999996</v>
      </c>
      <c r="J12" s="7">
        <v>6.218</v>
      </c>
      <c r="K12" s="7">
        <v>8.0879999999999992</v>
      </c>
      <c r="L12" s="7">
        <v>11.032999999999999</v>
      </c>
      <c r="M12" s="7">
        <v>13.861000000000001</v>
      </c>
      <c r="N12" s="7">
        <v>56.707999999999998</v>
      </c>
      <c r="O12" s="7">
        <v>69.7</v>
      </c>
      <c r="P12" s="7">
        <v>8.1300000000000008</v>
      </c>
      <c r="Q12" s="7">
        <v>6.9889999999999999</v>
      </c>
      <c r="R12" s="7">
        <v>11</v>
      </c>
      <c r="S12" s="1">
        <v>8</v>
      </c>
      <c r="T12" s="1">
        <v>10</v>
      </c>
    </row>
    <row r="13" spans="1:20" x14ac:dyDescent="0.3">
      <c r="A13" s="101"/>
      <c r="B13" s="13">
        <v>2</v>
      </c>
      <c r="C13" s="1" t="s">
        <v>15</v>
      </c>
      <c r="D13" s="22">
        <v>0</v>
      </c>
      <c r="E13" s="22">
        <v>0</v>
      </c>
      <c r="F13" s="22">
        <v>0.06</v>
      </c>
      <c r="G13" s="22">
        <v>7.0000000000000007E-2</v>
      </c>
      <c r="H13" s="22">
        <v>7.0000000000000007E-2</v>
      </c>
      <c r="I13" s="22">
        <v>0.08</v>
      </c>
      <c r="J13" s="22">
        <v>0.08</v>
      </c>
      <c r="K13" s="22">
        <v>0.11</v>
      </c>
      <c r="L13" s="22">
        <v>0.15</v>
      </c>
      <c r="M13" s="22">
        <v>0.19</v>
      </c>
      <c r="N13" s="22">
        <v>1.61</v>
      </c>
      <c r="O13" s="22">
        <v>3.38</v>
      </c>
      <c r="P13" s="47">
        <v>0.6</v>
      </c>
      <c r="Q13" s="47">
        <v>0</v>
      </c>
      <c r="R13" s="47">
        <v>0.31</v>
      </c>
      <c r="S13" s="47">
        <v>0.22</v>
      </c>
      <c r="T13" s="1">
        <v>0.26</v>
      </c>
    </row>
    <row r="14" spans="1:20" x14ac:dyDescent="0.3">
      <c r="A14" s="102" t="s">
        <v>14</v>
      </c>
      <c r="B14" s="14">
        <v>8</v>
      </c>
      <c r="C14" s="6" t="s">
        <v>16</v>
      </c>
      <c r="D14" s="7">
        <v>63.676574000000002</v>
      </c>
      <c r="E14" s="7">
        <v>14.684831000000001</v>
      </c>
      <c r="F14" s="7">
        <v>14.677325</v>
      </c>
      <c r="G14" s="7">
        <v>26.730301000000001</v>
      </c>
      <c r="H14" s="7">
        <v>16.112788999999999</v>
      </c>
      <c r="I14" s="7">
        <v>11.769276</v>
      </c>
      <c r="J14" s="7">
        <v>11.662934</v>
      </c>
      <c r="K14" s="7">
        <v>16.366816</v>
      </c>
      <c r="L14" s="7">
        <v>22.4</v>
      </c>
      <c r="M14" s="7">
        <v>17.2</v>
      </c>
      <c r="N14" s="7">
        <v>105.1</v>
      </c>
      <c r="O14" s="7">
        <v>75</v>
      </c>
      <c r="P14" s="7">
        <v>53.6</v>
      </c>
      <c r="Q14" s="7">
        <v>54.5</v>
      </c>
      <c r="R14" s="7">
        <v>44.3</v>
      </c>
      <c r="S14" s="1"/>
      <c r="T14" s="1"/>
    </row>
    <row r="15" spans="1:20" x14ac:dyDescent="0.3">
      <c r="A15" s="103"/>
      <c r="B15" s="14">
        <v>7</v>
      </c>
      <c r="C15" s="1" t="s">
        <v>17</v>
      </c>
      <c r="D15" s="3">
        <v>116.39731999999999</v>
      </c>
      <c r="E15" s="3">
        <v>114.18194</v>
      </c>
      <c r="F15" s="3">
        <v>94.584259000000003</v>
      </c>
      <c r="G15" s="3">
        <v>104.57277000000001</v>
      </c>
      <c r="H15" s="3">
        <v>95.486959999999996</v>
      </c>
      <c r="I15" s="3">
        <v>86.515837000000005</v>
      </c>
      <c r="J15" s="3">
        <v>82.075835999999995</v>
      </c>
      <c r="K15" s="3">
        <v>79.425903000000005</v>
      </c>
      <c r="L15" s="3">
        <v>88.7</v>
      </c>
      <c r="M15" s="3">
        <v>90.2</v>
      </c>
      <c r="N15" s="3">
        <v>112.97114999999999</v>
      </c>
      <c r="O15" s="3">
        <v>96.4</v>
      </c>
      <c r="P15" s="3">
        <v>85.1</v>
      </c>
      <c r="Q15" s="3">
        <v>65.900000000000006</v>
      </c>
      <c r="R15" s="3">
        <v>60.6</v>
      </c>
      <c r="S15" s="1"/>
      <c r="T15" s="1"/>
    </row>
    <row r="16" spans="1:20" x14ac:dyDescent="0.3">
      <c r="A16" s="103"/>
      <c r="B16" s="14">
        <v>9</v>
      </c>
      <c r="C16" s="6" t="s">
        <v>92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5.0638000000000002E-2</v>
      </c>
      <c r="L16" s="7">
        <v>7.5740000000000002E-2</v>
      </c>
      <c r="M16" s="7">
        <v>0.14236399999999999</v>
      </c>
      <c r="N16" s="7">
        <v>4.9230000000000003E-3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1"/>
    </row>
    <row r="17" spans="1:20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1"/>
    </row>
    <row r="18" spans="1:20" x14ac:dyDescent="0.3">
      <c r="A18" s="103"/>
      <c r="B18" s="14">
        <v>15</v>
      </c>
      <c r="C18" s="6" t="s">
        <v>19</v>
      </c>
      <c r="D18" s="7">
        <v>185.829936</v>
      </c>
      <c r="E18" s="7">
        <v>157.33562000000001</v>
      </c>
      <c r="F18" s="7">
        <v>119.38155</v>
      </c>
      <c r="G18" s="7">
        <v>140.95805999999999</v>
      </c>
      <c r="H18" s="7">
        <v>133.79230000000001</v>
      </c>
      <c r="I18" s="7">
        <v>114.98876</v>
      </c>
      <c r="J18" s="7">
        <v>116.45377000000001</v>
      </c>
      <c r="K18" s="7">
        <v>121.87517</v>
      </c>
      <c r="L18" s="7">
        <v>124.9</v>
      </c>
      <c r="M18" s="7">
        <v>137.80000000000001</v>
      </c>
      <c r="N18" s="7">
        <v>168</v>
      </c>
      <c r="O18" s="7">
        <v>128</v>
      </c>
      <c r="P18" s="7">
        <v>111.8</v>
      </c>
      <c r="Q18" s="7">
        <v>97.8</v>
      </c>
      <c r="R18" s="7">
        <v>110.7</v>
      </c>
      <c r="S18" s="1"/>
      <c r="T18" s="1"/>
    </row>
    <row r="19" spans="1:20" x14ac:dyDescent="0.3">
      <c r="A19" s="103"/>
      <c r="B19" s="14">
        <v>18</v>
      </c>
      <c r="C19" s="1" t="s">
        <v>21</v>
      </c>
      <c r="D19" s="3">
        <v>145.17400000000001</v>
      </c>
      <c r="E19" s="3">
        <v>90.632476999999994</v>
      </c>
      <c r="F19" s="3">
        <v>57.312353000000002</v>
      </c>
      <c r="G19" s="3">
        <v>82.596800999999999</v>
      </c>
      <c r="H19" s="3">
        <v>78.495638</v>
      </c>
      <c r="I19" s="3">
        <v>62.998348999999997</v>
      </c>
      <c r="J19" s="3">
        <v>68.184047000000007</v>
      </c>
      <c r="K19" s="3">
        <v>76.945176000000004</v>
      </c>
      <c r="L19" s="3">
        <v>75.5</v>
      </c>
      <c r="M19" s="3">
        <v>85.993278000000004</v>
      </c>
      <c r="N19" s="3">
        <v>99.327073999999996</v>
      </c>
      <c r="O19" s="3">
        <v>65</v>
      </c>
      <c r="P19" s="3">
        <v>58.2</v>
      </c>
      <c r="Q19" s="3">
        <v>56.2</v>
      </c>
      <c r="R19" s="3">
        <v>74.7</v>
      </c>
      <c r="S19" s="1"/>
      <c r="T19" s="1"/>
    </row>
    <row r="20" spans="1:20" x14ac:dyDescent="0.3">
      <c r="A20" s="103"/>
      <c r="B20" s="14">
        <v>17</v>
      </c>
      <c r="C20" s="6" t="s">
        <v>22</v>
      </c>
      <c r="D20" s="7">
        <v>168.62176099999999</v>
      </c>
      <c r="E20" s="7">
        <v>105.191166</v>
      </c>
      <c r="F20" s="7">
        <v>67.105726000000004</v>
      </c>
      <c r="G20" s="7">
        <v>91.773446000000007</v>
      </c>
      <c r="H20" s="7">
        <v>82.764973999999995</v>
      </c>
      <c r="I20" s="7">
        <v>66.446068999999994</v>
      </c>
      <c r="J20" s="7">
        <v>65.605891</v>
      </c>
      <c r="K20" s="7">
        <v>76.064319999999995</v>
      </c>
      <c r="L20" s="7">
        <v>81.868540999999993</v>
      </c>
      <c r="M20" s="7">
        <v>93.848569999999995</v>
      </c>
      <c r="N20" s="7">
        <v>199.03385399999999</v>
      </c>
      <c r="O20" s="7">
        <v>144.1</v>
      </c>
      <c r="P20" s="7">
        <v>114.6</v>
      </c>
      <c r="Q20" s="7">
        <v>110</v>
      </c>
      <c r="R20" s="7">
        <v>116</v>
      </c>
      <c r="S20" s="1"/>
      <c r="T20" s="1"/>
    </row>
    <row r="21" spans="1:20" x14ac:dyDescent="0.3">
      <c r="A21" s="103"/>
      <c r="B21" s="14">
        <v>19</v>
      </c>
      <c r="C21" s="1" t="s">
        <v>88</v>
      </c>
      <c r="D21" s="3">
        <v>34.319735000000001</v>
      </c>
      <c r="E21" s="3">
        <v>41.000720000000001</v>
      </c>
      <c r="F21" s="3">
        <v>17.021978000000001</v>
      </c>
      <c r="G21" s="3">
        <v>22.473597999999999</v>
      </c>
      <c r="H21" s="3">
        <v>25.445515</v>
      </c>
      <c r="I21" s="3">
        <v>18.455963000000001</v>
      </c>
      <c r="J21" s="3">
        <v>19.076750000000001</v>
      </c>
      <c r="K21" s="3">
        <v>25.675958000000001</v>
      </c>
      <c r="L21" s="3">
        <v>19.899999999999999</v>
      </c>
      <c r="M21" s="3">
        <v>21.5</v>
      </c>
      <c r="N21" s="3">
        <v>28.9</v>
      </c>
      <c r="O21" s="3">
        <v>28.6</v>
      </c>
      <c r="P21" s="3">
        <v>20.6</v>
      </c>
      <c r="Q21" s="3">
        <v>18.8</v>
      </c>
      <c r="R21" s="3">
        <v>27.4</v>
      </c>
      <c r="S21" s="1"/>
      <c r="T21" s="1"/>
    </row>
    <row r="22" spans="1:20" x14ac:dyDescent="0.3">
      <c r="A22" s="103"/>
      <c r="B22" s="14">
        <v>20</v>
      </c>
      <c r="C22" s="6" t="s">
        <v>87</v>
      </c>
      <c r="D22" s="7">
        <v>64.598901999999995</v>
      </c>
      <c r="E22" s="7">
        <v>45.801197000000002</v>
      </c>
      <c r="F22" s="7">
        <v>31.677758000000001</v>
      </c>
      <c r="G22" s="7">
        <v>35.683380999999997</v>
      </c>
      <c r="H22" s="7">
        <v>39.384208000000001</v>
      </c>
      <c r="I22" s="7">
        <v>33.353161999999998</v>
      </c>
      <c r="J22" s="7">
        <v>33.498406000000003</v>
      </c>
      <c r="K22" s="7">
        <v>32.678629999999998</v>
      </c>
      <c r="L22" s="7">
        <v>39.200000000000003</v>
      </c>
      <c r="M22" s="7">
        <v>51.2</v>
      </c>
      <c r="N22" s="7">
        <v>59.4</v>
      </c>
      <c r="O22" s="7">
        <v>40.4</v>
      </c>
      <c r="P22" s="7">
        <v>39.9</v>
      </c>
      <c r="Q22" s="7">
        <v>36.4</v>
      </c>
      <c r="R22" s="7">
        <v>44.2</v>
      </c>
      <c r="S22" s="1"/>
      <c r="T22" s="1"/>
    </row>
    <row r="23" spans="1:20" x14ac:dyDescent="0.3">
      <c r="A23" s="103"/>
      <c r="B23" s="14">
        <v>16</v>
      </c>
      <c r="C23" s="1" t="s">
        <v>20</v>
      </c>
      <c r="D23" s="3">
        <v>37.389318000000003</v>
      </c>
      <c r="E23" s="3">
        <v>39.439388999999998</v>
      </c>
      <c r="F23" s="3">
        <v>41.604582000000001</v>
      </c>
      <c r="G23" s="3">
        <v>45.169339000000001</v>
      </c>
      <c r="H23" s="3">
        <v>50.094240999999997</v>
      </c>
      <c r="I23" s="3">
        <v>52.641525999999999</v>
      </c>
      <c r="J23" s="3">
        <v>56.720360999999997</v>
      </c>
      <c r="K23" s="3">
        <v>62.142766999999999</v>
      </c>
      <c r="L23" s="3">
        <v>69.728834000000006</v>
      </c>
      <c r="M23" s="3">
        <v>78.081547999999998</v>
      </c>
      <c r="N23" s="3">
        <v>146.164751</v>
      </c>
      <c r="O23" s="3">
        <v>130.1</v>
      </c>
      <c r="P23" s="3">
        <v>122.8</v>
      </c>
      <c r="Q23" s="3">
        <v>129.69999999999999</v>
      </c>
      <c r="R23" s="3">
        <v>124.5</v>
      </c>
      <c r="S23" s="1"/>
      <c r="T23" s="1"/>
    </row>
    <row r="25" spans="1:20" x14ac:dyDescent="0.3">
      <c r="A25" s="9" t="s">
        <v>71</v>
      </c>
      <c r="B25" s="8"/>
      <c r="C25" s="9" t="s">
        <v>26</v>
      </c>
      <c r="D25" s="8">
        <v>7</v>
      </c>
      <c r="E25" s="8">
        <v>8</v>
      </c>
      <c r="F25" s="8">
        <v>9</v>
      </c>
      <c r="G25" s="8">
        <v>10</v>
      </c>
      <c r="H25" s="8">
        <v>11</v>
      </c>
      <c r="I25" s="8">
        <v>12</v>
      </c>
      <c r="J25" s="8">
        <v>13</v>
      </c>
      <c r="K25" s="8">
        <v>14</v>
      </c>
      <c r="L25" s="8">
        <v>15</v>
      </c>
      <c r="M25" s="8">
        <v>16</v>
      </c>
      <c r="N25" s="8">
        <v>17</v>
      </c>
      <c r="O25" s="8">
        <v>18</v>
      </c>
      <c r="P25" s="8">
        <v>19</v>
      </c>
      <c r="Q25" s="8">
        <v>20</v>
      </c>
      <c r="R25" s="8" t="s">
        <v>3</v>
      </c>
      <c r="S25" s="8" t="s">
        <v>94</v>
      </c>
      <c r="T25" s="8" t="s">
        <v>116</v>
      </c>
    </row>
    <row r="26" spans="1:20" x14ac:dyDescent="0.3">
      <c r="A26" s="6" t="s">
        <v>65</v>
      </c>
      <c r="B26" s="17" t="s">
        <v>27</v>
      </c>
      <c r="C26" s="6" t="s">
        <v>85</v>
      </c>
      <c r="D26" s="7">
        <f t="shared" ref="D26:N26" si="0">D4*D5</f>
        <v>29.478064999999997</v>
      </c>
      <c r="E26" s="7">
        <f t="shared" si="0"/>
        <v>16.020687500000001</v>
      </c>
      <c r="F26" s="7">
        <f t="shared" si="0"/>
        <v>23.079398399999999</v>
      </c>
      <c r="G26" s="7">
        <f t="shared" si="0"/>
        <v>18.71995648</v>
      </c>
      <c r="H26" s="7">
        <f t="shared" si="0"/>
        <v>16.15584789</v>
      </c>
      <c r="I26" s="7">
        <f t="shared" si="0"/>
        <v>18.335605144999999</v>
      </c>
      <c r="J26" s="7">
        <f t="shared" si="0"/>
        <v>35.379100019999996</v>
      </c>
      <c r="K26" s="7">
        <f t="shared" si="0"/>
        <v>66.656275399999998</v>
      </c>
      <c r="L26" s="7">
        <f t="shared" si="0"/>
        <v>135.71088728000001</v>
      </c>
      <c r="M26" s="7">
        <f t="shared" si="0"/>
        <v>131.09312552</v>
      </c>
      <c r="N26" s="7">
        <f t="shared" si="0"/>
        <v>297.01778301000002</v>
      </c>
      <c r="O26" s="7">
        <f t="shared" ref="O26:S26" si="1">O4*O5</f>
        <v>211.55112750000001</v>
      </c>
      <c r="P26" s="7">
        <f t="shared" si="1"/>
        <v>149.73759999999999</v>
      </c>
      <c r="Q26" s="7">
        <f t="shared" si="1"/>
        <v>123.072</v>
      </c>
      <c r="R26" s="7">
        <f t="shared" si="1"/>
        <v>184.08</v>
      </c>
      <c r="S26" s="7">
        <f t="shared" si="1"/>
        <v>185.64</v>
      </c>
      <c r="T26" s="7">
        <f t="shared" ref="T26" si="2">T4*T5</f>
        <v>185.64</v>
      </c>
    </row>
    <row r="27" spans="1:20" x14ac:dyDescent="0.3">
      <c r="A27" s="1" t="s">
        <v>66</v>
      </c>
      <c r="B27" s="2" t="s">
        <v>28</v>
      </c>
      <c r="C27" s="1" t="s">
        <v>47</v>
      </c>
      <c r="D27" s="30">
        <f t="shared" ref="D27:N27" si="3">D26/D6</f>
        <v>0.26687850255760265</v>
      </c>
      <c r="E27" s="30">
        <f t="shared" si="3"/>
        <v>0.1269347407536526</v>
      </c>
      <c r="F27" s="30">
        <f t="shared" si="3"/>
        <v>0.23579038219879239</v>
      </c>
      <c r="G27" s="30">
        <f t="shared" si="3"/>
        <v>0.20470378549792781</v>
      </c>
      <c r="H27" s="30">
        <f t="shared" si="3"/>
        <v>0.14812637886456156</v>
      </c>
      <c r="I27" s="30">
        <f t="shared" si="3"/>
        <v>0.16578904431444175</v>
      </c>
      <c r="J27" s="30">
        <f t="shared" si="3"/>
        <v>0.33582120739243099</v>
      </c>
      <c r="K27" s="30">
        <f t="shared" si="3"/>
        <v>0.55744323980765209</v>
      </c>
      <c r="L27" s="30">
        <f t="shared" si="3"/>
        <v>1.0786971407678245</v>
      </c>
      <c r="M27" s="30">
        <f t="shared" si="3"/>
        <v>0.96441643139851385</v>
      </c>
      <c r="N27" s="30">
        <f t="shared" si="3"/>
        <v>1.8931594302377464</v>
      </c>
      <c r="O27" s="30">
        <f t="shared" ref="O27:S27" si="4">O26/O6</f>
        <v>1.6344829444487368</v>
      </c>
      <c r="P27" s="30">
        <f t="shared" si="4"/>
        <v>1.3131421555730947</v>
      </c>
      <c r="Q27" s="30">
        <f t="shared" si="4"/>
        <v>1.1983641674780916</v>
      </c>
      <c r="R27" s="30">
        <f t="shared" si="4"/>
        <v>1.460952380952381</v>
      </c>
      <c r="S27" s="30">
        <f t="shared" si="4"/>
        <v>1.4279999999999999</v>
      </c>
      <c r="T27" s="30">
        <f t="shared" ref="T27" si="5">T26/T6</f>
        <v>1.375111111111111</v>
      </c>
    </row>
    <row r="28" spans="1:20" x14ac:dyDescent="0.3">
      <c r="A28" s="6" t="s">
        <v>67</v>
      </c>
      <c r="B28" s="17" t="s">
        <v>29</v>
      </c>
      <c r="C28" s="6" t="s">
        <v>48</v>
      </c>
      <c r="D28" s="29">
        <f t="shared" ref="D28:N28" si="6">D26/D7</f>
        <v>2.2382737281700833</v>
      </c>
      <c r="E28" s="29">
        <f t="shared" si="6"/>
        <v>1.4127590388007056</v>
      </c>
      <c r="F28" s="29">
        <f t="shared" si="6"/>
        <v>2.6503672944418923</v>
      </c>
      <c r="G28" s="29">
        <f t="shared" si="6"/>
        <v>1.5322875075714169</v>
      </c>
      <c r="H28" s="29">
        <f t="shared" si="6"/>
        <v>1.0776312626734257</v>
      </c>
      <c r="I28" s="29">
        <f t="shared" si="6"/>
        <v>1.1836295361822993</v>
      </c>
      <c r="J28" s="29">
        <f t="shared" si="6"/>
        <v>2.4456726130236413</v>
      </c>
      <c r="K28" s="29">
        <f t="shared" si="6"/>
        <v>4.1222186394557818</v>
      </c>
      <c r="L28" s="29">
        <f t="shared" si="6"/>
        <v>7.5943417616116395</v>
      </c>
      <c r="M28" s="29">
        <f t="shared" si="6"/>
        <v>6.1473915835873392</v>
      </c>
      <c r="N28" s="29">
        <f t="shared" si="6"/>
        <v>11.962053282722515</v>
      </c>
      <c r="O28" s="29">
        <f t="shared" ref="O28:S28" si="7">O26/O7</f>
        <v>11.228828423566879</v>
      </c>
      <c r="P28" s="29">
        <f t="shared" si="7"/>
        <v>9.617058445728965</v>
      </c>
      <c r="Q28" s="29">
        <f t="shared" si="7"/>
        <v>9.4743648960739026</v>
      </c>
      <c r="R28" s="29">
        <f t="shared" si="7"/>
        <v>10.226666666666667</v>
      </c>
      <c r="S28" s="29">
        <f t="shared" si="7"/>
        <v>11.602499999999999</v>
      </c>
      <c r="T28" s="29">
        <f t="shared" ref="T28" si="8">T26/T7</f>
        <v>10.313333333333333</v>
      </c>
    </row>
    <row r="29" spans="1:20" x14ac:dyDescent="0.3">
      <c r="A29" s="15" t="s">
        <v>68</v>
      </c>
      <c r="B29" s="2" t="s">
        <v>30</v>
      </c>
      <c r="C29" s="1" t="s">
        <v>49</v>
      </c>
      <c r="D29" s="3">
        <f t="shared" ref="D29:Q29" si="9">D15-D14</f>
        <v>52.720745999999991</v>
      </c>
      <c r="E29" s="3">
        <f t="shared" si="9"/>
        <v>99.497108999999995</v>
      </c>
      <c r="F29" s="3">
        <f t="shared" si="9"/>
        <v>79.906934000000007</v>
      </c>
      <c r="G29" s="3">
        <f t="shared" si="9"/>
        <v>77.842469000000008</v>
      </c>
      <c r="H29" s="3">
        <f t="shared" si="9"/>
        <v>79.37417099999999</v>
      </c>
      <c r="I29" s="3">
        <f t="shared" si="9"/>
        <v>74.746561</v>
      </c>
      <c r="J29" s="3">
        <f t="shared" si="9"/>
        <v>70.412902000000003</v>
      </c>
      <c r="K29" s="3">
        <f t="shared" si="9"/>
        <v>63.059087000000005</v>
      </c>
      <c r="L29" s="3">
        <f t="shared" si="9"/>
        <v>66.300000000000011</v>
      </c>
      <c r="M29" s="3">
        <f t="shared" si="9"/>
        <v>73</v>
      </c>
      <c r="N29" s="3">
        <f t="shared" si="9"/>
        <v>7.8711500000000001</v>
      </c>
      <c r="O29" s="3">
        <f t="shared" si="9"/>
        <v>21.400000000000006</v>
      </c>
      <c r="P29" s="3">
        <f t="shared" si="9"/>
        <v>31.499999999999993</v>
      </c>
      <c r="Q29" s="3">
        <f t="shared" si="9"/>
        <v>11.400000000000006</v>
      </c>
      <c r="R29" s="3">
        <f t="shared" ref="R29" si="10">R15-R14</f>
        <v>16.300000000000004</v>
      </c>
      <c r="S29" s="1"/>
      <c r="T29" s="1"/>
    </row>
    <row r="30" spans="1:20" x14ac:dyDescent="0.3">
      <c r="A30" s="6" t="s">
        <v>69</v>
      </c>
      <c r="B30" s="17" t="s">
        <v>31</v>
      </c>
      <c r="C30" s="6" t="s">
        <v>50</v>
      </c>
      <c r="D30" s="7">
        <f t="shared" ref="D30:Q30" si="11">D26+D29+D16+D17</f>
        <v>82.198810999999992</v>
      </c>
      <c r="E30" s="7">
        <f t="shared" si="11"/>
        <v>115.5177965</v>
      </c>
      <c r="F30" s="7">
        <f t="shared" si="11"/>
        <v>102.98633240000001</v>
      </c>
      <c r="G30" s="7">
        <f t="shared" si="11"/>
        <v>96.562425480000002</v>
      </c>
      <c r="H30" s="7">
        <f t="shared" si="11"/>
        <v>95.530018889999994</v>
      </c>
      <c r="I30" s="7">
        <f t="shared" si="11"/>
        <v>93.082166145000002</v>
      </c>
      <c r="J30" s="7">
        <f t="shared" si="11"/>
        <v>105.79200202</v>
      </c>
      <c r="K30" s="7">
        <f t="shared" si="11"/>
        <v>129.7660004</v>
      </c>
      <c r="L30" s="7">
        <f t="shared" si="11"/>
        <v>202.08662728000002</v>
      </c>
      <c r="M30" s="7">
        <f t="shared" si="11"/>
        <v>204.23548951999999</v>
      </c>
      <c r="N30" s="7">
        <f t="shared" si="11"/>
        <v>304.89385601000004</v>
      </c>
      <c r="O30" s="7">
        <f t="shared" si="11"/>
        <v>232.95112750000001</v>
      </c>
      <c r="P30" s="7">
        <f t="shared" si="11"/>
        <v>181.23759999999999</v>
      </c>
      <c r="Q30" s="7">
        <f t="shared" si="11"/>
        <v>134.47200000000001</v>
      </c>
      <c r="R30" s="7">
        <f t="shared" ref="R30" si="12">R26+R29+R16+R17</f>
        <v>200.38000000000002</v>
      </c>
      <c r="S30" s="1"/>
      <c r="T30" s="1"/>
    </row>
    <row r="31" spans="1:20" x14ac:dyDescent="0.3">
      <c r="A31" s="1" t="s">
        <v>70</v>
      </c>
      <c r="B31" s="2" t="s">
        <v>32</v>
      </c>
      <c r="C31" s="1" t="s">
        <v>51</v>
      </c>
      <c r="D31" s="30">
        <f t="shared" ref="D31:R31" si="13">D30/D7</f>
        <v>6.241367577828397</v>
      </c>
      <c r="E31" s="30">
        <f t="shared" si="13"/>
        <v>10.186754541446209</v>
      </c>
      <c r="F31" s="30">
        <f t="shared" si="13"/>
        <v>11.826634405144695</v>
      </c>
      <c r="G31" s="30">
        <f t="shared" si="13"/>
        <v>7.9039392223950236</v>
      </c>
      <c r="H31" s="30">
        <f t="shared" si="13"/>
        <v>6.3720663613927417</v>
      </c>
      <c r="I31" s="30">
        <f t="shared" si="13"/>
        <v>6.0087900164611714</v>
      </c>
      <c r="J31" s="30">
        <f t="shared" si="13"/>
        <v>7.3131482109774648</v>
      </c>
      <c r="K31" s="30">
        <f t="shared" si="13"/>
        <v>8.0251082498453918</v>
      </c>
      <c r="L31" s="30">
        <f t="shared" si="13"/>
        <v>11.308708857302742</v>
      </c>
      <c r="M31" s="30">
        <f t="shared" si="13"/>
        <v>9.5772796961313009</v>
      </c>
      <c r="N31" s="30">
        <f t="shared" si="13"/>
        <v>12.279253161900929</v>
      </c>
      <c r="O31" s="30">
        <f t="shared" si="13"/>
        <v>12.36470952760085</v>
      </c>
      <c r="P31" s="30">
        <f t="shared" si="13"/>
        <v>11.640179833012201</v>
      </c>
      <c r="Q31" s="30">
        <f t="shared" si="13"/>
        <v>10.351963048498845</v>
      </c>
      <c r="R31" s="30">
        <f t="shared" si="13"/>
        <v>11.132222222222223</v>
      </c>
      <c r="S31" s="1"/>
      <c r="T31" s="1"/>
    </row>
    <row r="32" spans="1:20" x14ac:dyDescent="0.3">
      <c r="A32" s="18" t="s">
        <v>72</v>
      </c>
      <c r="B32" s="17" t="s">
        <v>33</v>
      </c>
      <c r="C32" s="6" t="s">
        <v>109</v>
      </c>
      <c r="D32" s="27">
        <f t="shared" ref="D32:O32" si="14">D7/D6</f>
        <v>0.11923407722601964</v>
      </c>
      <c r="E32" s="27">
        <f t="shared" si="14"/>
        <v>8.9848825785186825E-2</v>
      </c>
      <c r="F32" s="27">
        <f t="shared" si="14"/>
        <v>8.8965171994564829E-2</v>
      </c>
      <c r="G32" s="27">
        <f t="shared" si="14"/>
        <v>0.13359358768275215</v>
      </c>
      <c r="H32" s="27">
        <f t="shared" si="14"/>
        <v>0.13745553232845564</v>
      </c>
      <c r="I32" s="27">
        <f t="shared" si="14"/>
        <v>0.14006835690260044</v>
      </c>
      <c r="J32" s="27">
        <f t="shared" si="14"/>
        <v>0.13731241279152548</v>
      </c>
      <c r="K32" s="27">
        <f t="shared" si="14"/>
        <v>0.13522893581434248</v>
      </c>
      <c r="L32" s="27">
        <f t="shared" si="14"/>
        <v>0.14203958349892695</v>
      </c>
      <c r="M32" s="27">
        <f t="shared" si="14"/>
        <v>0.15688221878908259</v>
      </c>
      <c r="N32" s="27">
        <f t="shared" si="14"/>
        <v>0.1582637516731468</v>
      </c>
      <c r="O32" s="27">
        <f t="shared" si="14"/>
        <v>0.14556130727033917</v>
      </c>
      <c r="P32" s="27">
        <f t="shared" ref="P32:R32" si="15">P7/P6</f>
        <v>0.13654301499605367</v>
      </c>
      <c r="Q32" s="27">
        <f t="shared" si="15"/>
        <v>0.12648490749756572</v>
      </c>
      <c r="R32" s="27">
        <f t="shared" si="15"/>
        <v>0.14285714285714285</v>
      </c>
      <c r="S32" s="27">
        <f t="shared" ref="S32:T32" si="16">S7/S6</f>
        <v>0.12307692307692308</v>
      </c>
      <c r="T32" s="27">
        <f t="shared" si="16"/>
        <v>0.13333333333333333</v>
      </c>
    </row>
    <row r="33" spans="1:20" x14ac:dyDescent="0.3">
      <c r="A33" s="16" t="s">
        <v>73</v>
      </c>
      <c r="B33" s="2" t="s">
        <v>34</v>
      </c>
      <c r="C33" s="1" t="s">
        <v>110</v>
      </c>
      <c r="D33" s="28">
        <f t="shared" ref="D33:O33" si="17">D8/D6</f>
        <v>0.10158888235027839</v>
      </c>
      <c r="E33" s="28">
        <f t="shared" si="17"/>
        <v>7.3439926472918582E-2</v>
      </c>
      <c r="F33" s="28">
        <f t="shared" si="17"/>
        <v>7.2210132712170902E-2</v>
      </c>
      <c r="G33" s="28">
        <f t="shared" si="17"/>
        <v>0.11850320943914094</v>
      </c>
      <c r="H33" s="28">
        <f t="shared" si="17"/>
        <v>0.12455532328455643</v>
      </c>
      <c r="I33" s="28">
        <f t="shared" si="17"/>
        <v>0.12903721653586026</v>
      </c>
      <c r="J33" s="28">
        <f t="shared" si="17"/>
        <v>0.12278953213543298</v>
      </c>
      <c r="K33" s="28">
        <f t="shared" si="17"/>
        <v>0.121856575371106</v>
      </c>
      <c r="L33" s="28">
        <f t="shared" si="17"/>
        <v>0.1229870439551705</v>
      </c>
      <c r="M33" s="28">
        <f t="shared" si="17"/>
        <v>0.12216582064297801</v>
      </c>
      <c r="N33" s="28">
        <f t="shared" si="17"/>
        <v>0.12046656893364778</v>
      </c>
      <c r="O33" s="28">
        <f t="shared" si="17"/>
        <v>0.1049215792320173</v>
      </c>
      <c r="P33" s="28">
        <f t="shared" ref="P33:R33" si="18">P8/P6</f>
        <v>0.10567394545295099</v>
      </c>
      <c r="Q33" s="28">
        <f t="shared" si="18"/>
        <v>9.5423563777994158E-2</v>
      </c>
      <c r="R33" s="28">
        <f t="shared" si="18"/>
        <v>0.11904761904761904</v>
      </c>
      <c r="S33" s="28">
        <f t="shared" ref="S33:T33" si="19">S8/S6</f>
        <v>9.2307692307692313E-2</v>
      </c>
      <c r="T33" s="28">
        <f t="shared" si="19"/>
        <v>0.1037037037037037</v>
      </c>
    </row>
    <row r="34" spans="1:20" x14ac:dyDescent="0.3">
      <c r="A34" s="18" t="s">
        <v>74</v>
      </c>
      <c r="B34" s="17" t="s">
        <v>35</v>
      </c>
      <c r="C34" s="6" t="s">
        <v>54</v>
      </c>
      <c r="D34" s="27">
        <f t="shared" ref="D34:O34" si="20">D11/D10</f>
        <v>0.26067687348912166</v>
      </c>
      <c r="E34" s="27">
        <f t="shared" si="20"/>
        <v>0.28323242958673339</v>
      </c>
      <c r="F34" s="27">
        <f t="shared" si="20"/>
        <v>0.29684530596731284</v>
      </c>
      <c r="G34" s="27">
        <f t="shared" si="20"/>
        <v>0.30501563137148296</v>
      </c>
      <c r="H34" s="27">
        <f t="shared" si="20"/>
        <v>0.30844751321609665</v>
      </c>
      <c r="I34" s="27">
        <f t="shared" si="20"/>
        <v>0.37444219066937123</v>
      </c>
      <c r="J34" s="27">
        <f t="shared" si="20"/>
        <v>0.29882724402345512</v>
      </c>
      <c r="K34" s="27">
        <f t="shared" si="20"/>
        <v>0.29657331709862589</v>
      </c>
      <c r="L34" s="27">
        <f t="shared" si="20"/>
        <v>0.23665123989776887</v>
      </c>
      <c r="M34" s="27">
        <f t="shared" si="20"/>
        <v>0.16857688634192933</v>
      </c>
      <c r="N34" s="27">
        <f t="shared" si="20"/>
        <v>5.1324087859879221E-2</v>
      </c>
      <c r="O34" s="27">
        <f t="shared" si="20"/>
        <v>0.24979184013322231</v>
      </c>
      <c r="P34" s="27">
        <f t="shared" ref="P34:R34" si="21">P11/P10</f>
        <v>0.2411764705882353</v>
      </c>
      <c r="Q34" s="27">
        <f t="shared" si="21"/>
        <v>0.19611226132965262</v>
      </c>
      <c r="R34" s="27">
        <f t="shared" si="21"/>
        <v>0.2</v>
      </c>
      <c r="S34" s="27">
        <f t="shared" ref="S34:T34" si="22">S11/S10</f>
        <v>0.2</v>
      </c>
      <c r="T34" s="27">
        <f t="shared" si="22"/>
        <v>0.16666666666666666</v>
      </c>
    </row>
    <row r="35" spans="1:20" x14ac:dyDescent="0.3">
      <c r="A35" s="16" t="s">
        <v>75</v>
      </c>
      <c r="B35" s="2" t="s">
        <v>36</v>
      </c>
      <c r="C35" s="1" t="s">
        <v>108</v>
      </c>
      <c r="D35" s="28">
        <f t="shared" ref="D35:O35" si="23">D12/D6</f>
        <v>6.6452401430446784E-2</v>
      </c>
      <c r="E35" s="28">
        <f t="shared" si="23"/>
        <v>2.1574810636072639E-2</v>
      </c>
      <c r="F35" s="28">
        <f t="shared" si="23"/>
        <v>1.8900501629529737E-2</v>
      </c>
      <c r="G35" s="28">
        <f t="shared" si="23"/>
        <v>5.5921879954947566E-2</v>
      </c>
      <c r="H35" s="28">
        <f t="shared" si="23"/>
        <v>5.8770675175120114E-2</v>
      </c>
      <c r="I35" s="28">
        <f t="shared" si="23"/>
        <v>5.5779594198705193E-2</v>
      </c>
      <c r="J35" s="28">
        <f t="shared" si="23"/>
        <v>5.90217463526687E-2</v>
      </c>
      <c r="K35" s="28">
        <f t="shared" si="23"/>
        <v>6.7639556763537514E-2</v>
      </c>
      <c r="L35" s="28">
        <f t="shared" si="23"/>
        <v>8.769573165885064E-2</v>
      </c>
      <c r="M35" s="28">
        <f t="shared" si="23"/>
        <v>0.10197160303097183</v>
      </c>
      <c r="N35" s="28">
        <f t="shared" si="23"/>
        <v>0.36145069794123275</v>
      </c>
      <c r="O35" s="28">
        <f t="shared" si="23"/>
        <v>0.53851502742795332</v>
      </c>
      <c r="P35" s="28">
        <f t="shared" ref="P35:R35" si="24">P12/P6</f>
        <v>7.1297027098132071E-2</v>
      </c>
      <c r="Q35" s="28">
        <f t="shared" si="24"/>
        <v>6.8052580331061346E-2</v>
      </c>
      <c r="R35" s="28">
        <f t="shared" si="24"/>
        <v>8.7301587301587297E-2</v>
      </c>
      <c r="S35" s="28">
        <f t="shared" ref="S35:T35" si="25">S12/S6</f>
        <v>6.1538461538461542E-2</v>
      </c>
      <c r="T35" s="28">
        <f t="shared" si="25"/>
        <v>7.407407407407407E-2</v>
      </c>
    </row>
    <row r="36" spans="1:20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4.01608514986376</v>
      </c>
      <c r="E36" s="29">
        <f t="shared" ref="E36:O36" si="26">IF(E26/E12&lt;0,0,E26/E12)</f>
        <v>5.883469518912964</v>
      </c>
      <c r="F36" s="29">
        <f t="shared" si="26"/>
        <v>12.475350486486485</v>
      </c>
      <c r="G36" s="29">
        <f t="shared" si="26"/>
        <v>3.6605311849824016</v>
      </c>
      <c r="H36" s="29">
        <f t="shared" si="26"/>
        <v>2.5204130873634947</v>
      </c>
      <c r="I36" s="29">
        <f t="shared" si="26"/>
        <v>2.972216752309937</v>
      </c>
      <c r="J36" s="29">
        <f t="shared" si="26"/>
        <v>5.6897877163074941</v>
      </c>
      <c r="K36" s="29">
        <f t="shared" si="26"/>
        <v>8.2413792532146388</v>
      </c>
      <c r="L36" s="29">
        <f t="shared" si="26"/>
        <v>12.300452032991934</v>
      </c>
      <c r="M36" s="29">
        <f t="shared" si="26"/>
        <v>9.4576960911911119</v>
      </c>
      <c r="N36" s="29">
        <f t="shared" si="26"/>
        <v>5.2376698703886584</v>
      </c>
      <c r="O36" s="29">
        <f t="shared" si="26"/>
        <v>3.0351668220946917</v>
      </c>
      <c r="P36" s="29">
        <f t="shared" ref="P36:R36" si="27">IF(P26/P12&lt;0,0,P26/P12)</f>
        <v>18.417908979089788</v>
      </c>
      <c r="Q36" s="29">
        <f t="shared" si="27"/>
        <v>17.609386178280154</v>
      </c>
      <c r="R36" s="29">
        <f t="shared" si="27"/>
        <v>16.734545454545454</v>
      </c>
      <c r="S36" s="29">
        <f t="shared" ref="S36:T36" si="28">IF(S26/S12&lt;0,0,S26/S12)</f>
        <v>23.204999999999998</v>
      </c>
      <c r="T36" s="29">
        <f t="shared" si="28"/>
        <v>18.564</v>
      </c>
    </row>
    <row r="37" spans="1:20" x14ac:dyDescent="0.3">
      <c r="A37" s="16" t="s">
        <v>77</v>
      </c>
      <c r="B37" s="2" t="s">
        <v>38</v>
      </c>
      <c r="C37" s="1" t="s">
        <v>57</v>
      </c>
      <c r="D37" s="30">
        <f t="shared" ref="D37:R37" si="29">D26/D23</f>
        <v>0.78840873749021034</v>
      </c>
      <c r="E37" s="30">
        <f t="shared" si="29"/>
        <v>0.40621033708204762</v>
      </c>
      <c r="F37" s="30">
        <f t="shared" si="29"/>
        <v>0.55473213022546408</v>
      </c>
      <c r="G37" s="30">
        <f t="shared" si="29"/>
        <v>0.41443946036048923</v>
      </c>
      <c r="H37" s="30">
        <f t="shared" si="29"/>
        <v>0.32250908622410313</v>
      </c>
      <c r="I37" s="30">
        <f t="shared" si="29"/>
        <v>0.34831066912839875</v>
      </c>
      <c r="J37" s="30">
        <f t="shared" si="29"/>
        <v>0.62374603045985544</v>
      </c>
      <c r="K37" s="30">
        <f t="shared" si="29"/>
        <v>1.0726312750122633</v>
      </c>
      <c r="L37" s="30">
        <f t="shared" si="29"/>
        <v>1.9462664079539893</v>
      </c>
      <c r="M37" s="30">
        <f t="shared" si="29"/>
        <v>1.6789258010099903</v>
      </c>
      <c r="N37" s="30">
        <f t="shared" si="29"/>
        <v>2.0320753189666094</v>
      </c>
      <c r="O37" s="30">
        <f t="shared" si="29"/>
        <v>1.6260655457340509</v>
      </c>
      <c r="P37" s="30">
        <f t="shared" si="29"/>
        <v>1.2193615635179151</v>
      </c>
      <c r="Q37" s="30">
        <f t="shared" si="29"/>
        <v>0.94889745566692374</v>
      </c>
      <c r="R37" s="30">
        <f t="shared" si="29"/>
        <v>1.4785542168674699</v>
      </c>
      <c r="S37" s="1"/>
      <c r="T37" s="1"/>
    </row>
    <row r="38" spans="1:20" x14ac:dyDescent="0.3">
      <c r="A38" s="18" t="s">
        <v>78</v>
      </c>
      <c r="B38" s="17" t="s">
        <v>39</v>
      </c>
      <c r="C38" s="6" t="s">
        <v>106</v>
      </c>
      <c r="D38" s="55">
        <f t="shared" ref="D38:Q38" si="30">D8/D23</f>
        <v>0.30011245457860447</v>
      </c>
      <c r="E38" s="55">
        <f t="shared" si="30"/>
        <v>0.2350188538671327</v>
      </c>
      <c r="F38" s="55">
        <f t="shared" si="30"/>
        <v>0.16988513428641103</v>
      </c>
      <c r="G38" s="55">
        <f t="shared" si="30"/>
        <v>0.23991938425311027</v>
      </c>
      <c r="H38" s="55">
        <f t="shared" si="30"/>
        <v>0.27118885781700935</v>
      </c>
      <c r="I38" s="55">
        <f t="shared" si="30"/>
        <v>0.27109776414916242</v>
      </c>
      <c r="J38" s="55">
        <f t="shared" si="30"/>
        <v>0.22806624943730525</v>
      </c>
      <c r="K38" s="55">
        <f t="shared" si="30"/>
        <v>0.23447620219421514</v>
      </c>
      <c r="L38" s="55">
        <f t="shared" si="30"/>
        <v>0.22190246290365331</v>
      </c>
      <c r="M38" s="55">
        <f t="shared" si="30"/>
        <v>0.21267508682076849</v>
      </c>
      <c r="N38" s="55">
        <f t="shared" si="30"/>
        <v>0.12930614167023075</v>
      </c>
      <c r="O38" s="55">
        <f t="shared" si="30"/>
        <v>0.10438124519600309</v>
      </c>
      <c r="P38" s="55">
        <f t="shared" si="30"/>
        <v>9.8127035830618894E-2</v>
      </c>
      <c r="Q38" s="55">
        <f t="shared" si="30"/>
        <v>7.5558982266769478E-2</v>
      </c>
      <c r="R38" s="55">
        <f t="shared" ref="R38" si="31">R8/R23</f>
        <v>0.12048192771084337</v>
      </c>
      <c r="S38" s="1"/>
      <c r="T38" s="1"/>
    </row>
    <row r="39" spans="1:20" x14ac:dyDescent="0.3">
      <c r="A39" s="16" t="s">
        <v>79</v>
      </c>
      <c r="B39" s="2" t="s">
        <v>40</v>
      </c>
      <c r="C39" s="1" t="s">
        <v>107</v>
      </c>
      <c r="D39" s="56">
        <f t="shared" ref="D39:Q39" si="32">D12/D23</f>
        <v>0.19631275435406442</v>
      </c>
      <c r="E39" s="56">
        <f t="shared" si="32"/>
        <v>6.9042651751019771E-2</v>
      </c>
      <c r="F39" s="56">
        <f t="shared" si="32"/>
        <v>4.4466256144575618E-2</v>
      </c>
      <c r="G39" s="56">
        <f t="shared" si="32"/>
        <v>0.11321839356559989</v>
      </c>
      <c r="H39" s="56">
        <f t="shared" si="32"/>
        <v>0.12795882065565184</v>
      </c>
      <c r="I39" s="56">
        <f t="shared" si="32"/>
        <v>0.11718885201010319</v>
      </c>
      <c r="J39" s="56">
        <f t="shared" si="32"/>
        <v>0.10962553641010854</v>
      </c>
      <c r="K39" s="56">
        <f t="shared" si="32"/>
        <v>0.13015191293300474</v>
      </c>
      <c r="L39" s="56">
        <f t="shared" si="32"/>
        <v>0.1582272263436959</v>
      </c>
      <c r="M39" s="56">
        <f t="shared" si="32"/>
        <v>0.17751953380842297</v>
      </c>
      <c r="N39" s="56">
        <f t="shared" si="32"/>
        <v>0.38797315776907115</v>
      </c>
      <c r="O39" s="56">
        <f t="shared" si="32"/>
        <v>0.53574173712528828</v>
      </c>
      <c r="P39" s="56">
        <f t="shared" si="32"/>
        <v>6.6205211726384369E-2</v>
      </c>
      <c r="Q39" s="56">
        <f t="shared" si="32"/>
        <v>5.3885890516576718E-2</v>
      </c>
      <c r="R39" s="56">
        <f t="shared" ref="R39" si="33">R12/R23</f>
        <v>8.8353413654618476E-2</v>
      </c>
      <c r="S39" s="1"/>
      <c r="T39" s="1"/>
    </row>
    <row r="40" spans="1:20" x14ac:dyDescent="0.3">
      <c r="A40" s="18" t="s">
        <v>80</v>
      </c>
      <c r="B40" s="17" t="s">
        <v>41</v>
      </c>
      <c r="C40" s="6" t="s">
        <v>61</v>
      </c>
      <c r="D40" s="7">
        <f t="shared" ref="D40:Q40" si="34">D20-D19</f>
        <v>23.447760999999986</v>
      </c>
      <c r="E40" s="7">
        <f t="shared" si="34"/>
        <v>14.558689000000001</v>
      </c>
      <c r="F40" s="7">
        <f t="shared" si="34"/>
        <v>9.7933730000000025</v>
      </c>
      <c r="G40" s="7">
        <f t="shared" si="34"/>
        <v>9.1766450000000077</v>
      </c>
      <c r="H40" s="7">
        <f t="shared" si="34"/>
        <v>4.2693359999999956</v>
      </c>
      <c r="I40" s="7">
        <f t="shared" si="34"/>
        <v>3.4477199999999968</v>
      </c>
      <c r="J40" s="7">
        <f t="shared" si="34"/>
        <v>-2.578156000000007</v>
      </c>
      <c r="K40" s="7">
        <f t="shared" si="34"/>
        <v>-0.88085600000000852</v>
      </c>
      <c r="L40" s="7">
        <f t="shared" si="34"/>
        <v>6.3685409999999933</v>
      </c>
      <c r="M40" s="7">
        <f t="shared" si="34"/>
        <v>7.8552919999999915</v>
      </c>
      <c r="N40" s="7">
        <f t="shared" si="34"/>
        <v>99.706779999999995</v>
      </c>
      <c r="O40" s="7">
        <f t="shared" si="34"/>
        <v>79.099999999999994</v>
      </c>
      <c r="P40" s="7">
        <f t="shared" si="34"/>
        <v>56.399999999999991</v>
      </c>
      <c r="Q40" s="7">
        <f t="shared" si="34"/>
        <v>53.8</v>
      </c>
      <c r="R40" s="7">
        <f t="shared" ref="R40" si="35">R20-R19</f>
        <v>41.3</v>
      </c>
      <c r="S40" s="1"/>
      <c r="T40" s="1"/>
    </row>
    <row r="41" spans="1:20" x14ac:dyDescent="0.3">
      <c r="A41" s="53" t="s">
        <v>96</v>
      </c>
      <c r="B41" s="49" t="s">
        <v>42</v>
      </c>
      <c r="C41" s="52" t="s">
        <v>98</v>
      </c>
      <c r="D41" s="29">
        <f>D20/D19</f>
        <v>1.1615148786972873</v>
      </c>
      <c r="E41" s="29">
        <f t="shared" ref="E41:Q41" si="36">E20/E19</f>
        <v>1.1606343496492986</v>
      </c>
      <c r="F41" s="29">
        <f t="shared" si="36"/>
        <v>1.1708771754668668</v>
      </c>
      <c r="G41" s="29">
        <f t="shared" si="36"/>
        <v>1.1111016999314538</v>
      </c>
      <c r="H41" s="29">
        <f t="shared" si="36"/>
        <v>1.0543894681128649</v>
      </c>
      <c r="I41" s="29">
        <f t="shared" si="36"/>
        <v>1.0547271484844785</v>
      </c>
      <c r="J41" s="29">
        <f t="shared" si="36"/>
        <v>0.96218828137320733</v>
      </c>
      <c r="K41" s="29">
        <f t="shared" si="36"/>
        <v>0.98855216082682029</v>
      </c>
      <c r="L41" s="29">
        <f t="shared" si="36"/>
        <v>1.084351536423841</v>
      </c>
      <c r="M41" s="29">
        <f t="shared" si="36"/>
        <v>1.0913477446458082</v>
      </c>
      <c r="N41" s="29">
        <f t="shared" si="36"/>
        <v>2.0038227845108976</v>
      </c>
      <c r="O41" s="29">
        <f t="shared" si="36"/>
        <v>2.2169230769230768</v>
      </c>
      <c r="P41" s="29">
        <f t="shared" si="36"/>
        <v>1.9690721649484535</v>
      </c>
      <c r="Q41" s="29">
        <f t="shared" si="36"/>
        <v>1.9572953736654803</v>
      </c>
      <c r="R41" s="29">
        <f t="shared" ref="R41" si="37">R20/R19</f>
        <v>1.5528781793842035</v>
      </c>
      <c r="S41" s="1"/>
      <c r="T41" s="1"/>
    </row>
    <row r="42" spans="1:20" x14ac:dyDescent="0.3">
      <c r="A42" s="16" t="s">
        <v>81</v>
      </c>
      <c r="B42" s="17" t="s">
        <v>43</v>
      </c>
      <c r="C42" s="1" t="s">
        <v>60</v>
      </c>
      <c r="D42" s="30">
        <f t="shared" ref="D42:Q42" si="38">(D20-D21)/D19</f>
        <v>0.92511073608221839</v>
      </c>
      <c r="E42" s="30">
        <f t="shared" si="38"/>
        <v>0.70824993561634642</v>
      </c>
      <c r="F42" s="30">
        <f t="shared" si="38"/>
        <v>0.87387352600930546</v>
      </c>
      <c r="G42" s="30">
        <f t="shared" si="38"/>
        <v>0.83901370465909464</v>
      </c>
      <c r="H42" s="30">
        <f t="shared" si="38"/>
        <v>0.73022476739408115</v>
      </c>
      <c r="I42" s="30">
        <f t="shared" si="38"/>
        <v>0.76176767743548324</v>
      </c>
      <c r="J42" s="30">
        <f t="shared" si="38"/>
        <v>0.68240509396574822</v>
      </c>
      <c r="K42" s="30">
        <f t="shared" si="38"/>
        <v>0.6548605724158717</v>
      </c>
      <c r="L42" s="30">
        <f t="shared" si="38"/>
        <v>0.82077537748344365</v>
      </c>
      <c r="M42" s="30">
        <f t="shared" si="38"/>
        <v>0.84132820242065887</v>
      </c>
      <c r="N42" s="30">
        <f t="shared" si="38"/>
        <v>1.712864852940297</v>
      </c>
      <c r="O42" s="30">
        <f t="shared" si="38"/>
        <v>1.7769230769230768</v>
      </c>
      <c r="P42" s="30">
        <f t="shared" si="38"/>
        <v>1.6151202749140892</v>
      </c>
      <c r="Q42" s="30">
        <f t="shared" si="38"/>
        <v>1.6227758007117437</v>
      </c>
      <c r="R42" s="30">
        <f t="shared" ref="R42" si="39">(R20-R21)/R19</f>
        <v>1.1860776439089691</v>
      </c>
      <c r="S42" s="1"/>
      <c r="T42" s="1"/>
    </row>
    <row r="43" spans="1:20" x14ac:dyDescent="0.3">
      <c r="A43" s="18" t="s">
        <v>82</v>
      </c>
      <c r="B43" s="49" t="s">
        <v>44</v>
      </c>
      <c r="C43" s="6" t="s">
        <v>62</v>
      </c>
      <c r="D43" s="29">
        <f t="shared" ref="D43:Q43" si="40">D14/D19</f>
        <v>0.43862243927976086</v>
      </c>
      <c r="E43" s="29">
        <f t="shared" si="40"/>
        <v>0.16202614654347361</v>
      </c>
      <c r="F43" s="29">
        <f t="shared" si="40"/>
        <v>0.25609356851916376</v>
      </c>
      <c r="G43" s="29">
        <f t="shared" si="40"/>
        <v>0.32362392582250249</v>
      </c>
      <c r="H43" s="29">
        <f t="shared" si="40"/>
        <v>0.20526986480446213</v>
      </c>
      <c r="I43" s="29">
        <f t="shared" si="40"/>
        <v>0.18681880060063161</v>
      </c>
      <c r="J43" s="29">
        <f t="shared" si="40"/>
        <v>0.17105077379757172</v>
      </c>
      <c r="K43" s="29">
        <f t="shared" si="40"/>
        <v>0.21270749968782968</v>
      </c>
      <c r="L43" s="29">
        <f t="shared" si="40"/>
        <v>0.29668874172185428</v>
      </c>
      <c r="M43" s="29">
        <f t="shared" si="40"/>
        <v>0.20001563378011941</v>
      </c>
      <c r="N43" s="29">
        <f t="shared" si="40"/>
        <v>1.0581203670612507</v>
      </c>
      <c r="O43" s="29">
        <f t="shared" si="40"/>
        <v>1.1538461538461537</v>
      </c>
      <c r="P43" s="29">
        <f t="shared" si="40"/>
        <v>0.92096219931271472</v>
      </c>
      <c r="Q43" s="29">
        <f t="shared" si="40"/>
        <v>0.96975088967971523</v>
      </c>
      <c r="R43" s="29">
        <f t="shared" ref="R43" si="41">R14/R19</f>
        <v>0.59303882195448454</v>
      </c>
      <c r="S43" s="1"/>
      <c r="T43" s="1"/>
    </row>
    <row r="44" spans="1:20" x14ac:dyDescent="0.3">
      <c r="A44" s="16" t="s">
        <v>83</v>
      </c>
      <c r="B44" s="17" t="s">
        <v>45</v>
      </c>
      <c r="C44" s="1" t="s">
        <v>63</v>
      </c>
      <c r="D44" s="30">
        <f t="shared" ref="D44:Q44" si="42">D29/D7</f>
        <v>4.0030938496583133</v>
      </c>
      <c r="E44" s="30">
        <f t="shared" si="42"/>
        <v>8.7739955026455014</v>
      </c>
      <c r="F44" s="30">
        <f t="shared" si="42"/>
        <v>9.1762671107028027</v>
      </c>
      <c r="G44" s="30">
        <f t="shared" si="42"/>
        <v>6.3716517148236065</v>
      </c>
      <c r="H44" s="30">
        <f t="shared" si="42"/>
        <v>5.2944350987193163</v>
      </c>
      <c r="I44" s="30">
        <f t="shared" si="42"/>
        <v>4.8251604802788721</v>
      </c>
      <c r="J44" s="30">
        <f t="shared" si="42"/>
        <v>4.8674755979538231</v>
      </c>
      <c r="K44" s="30">
        <f t="shared" si="42"/>
        <v>3.8997580086580084</v>
      </c>
      <c r="L44" s="30">
        <f t="shared" si="42"/>
        <v>3.7101287073307225</v>
      </c>
      <c r="M44" s="30">
        <f t="shared" si="42"/>
        <v>3.4232121922626026</v>
      </c>
      <c r="N44" s="30">
        <f t="shared" si="42"/>
        <v>0.31700161095449059</v>
      </c>
      <c r="O44" s="30">
        <f t="shared" si="42"/>
        <v>1.1358811040339707</v>
      </c>
      <c r="P44" s="30">
        <f t="shared" si="42"/>
        <v>2.0231213872832363</v>
      </c>
      <c r="Q44" s="30">
        <f t="shared" si="42"/>
        <v>0.87759815242494266</v>
      </c>
      <c r="R44" s="30">
        <f t="shared" ref="R44" si="43">R29/R7</f>
        <v>0.90555555555555578</v>
      </c>
      <c r="S44" s="1"/>
      <c r="T44" s="1"/>
    </row>
    <row r="45" spans="1:20" x14ac:dyDescent="0.3">
      <c r="A45" s="18" t="s">
        <v>84</v>
      </c>
      <c r="B45" s="54" t="s">
        <v>99</v>
      </c>
      <c r="C45" s="6" t="s">
        <v>64</v>
      </c>
      <c r="D45" s="29">
        <f t="shared" ref="D45:Q45" si="44">D18/D23</f>
        <v>4.9701344111171002</v>
      </c>
      <c r="E45" s="29">
        <f t="shared" si="44"/>
        <v>3.9893016598203386</v>
      </c>
      <c r="F45" s="29">
        <f t="shared" si="44"/>
        <v>2.8694327466143035</v>
      </c>
      <c r="G45" s="29">
        <f t="shared" si="44"/>
        <v>3.1206580198129528</v>
      </c>
      <c r="H45" s="29">
        <f t="shared" si="44"/>
        <v>2.670812000125923</v>
      </c>
      <c r="I45" s="29">
        <f t="shared" si="44"/>
        <v>2.184373606494614</v>
      </c>
      <c r="J45" s="29">
        <f t="shared" si="44"/>
        <v>2.0531211005515289</v>
      </c>
      <c r="K45" s="29">
        <f t="shared" si="44"/>
        <v>1.9612124770691335</v>
      </c>
      <c r="L45" s="29">
        <f t="shared" si="44"/>
        <v>1.7912245599861887</v>
      </c>
      <c r="M45" s="29">
        <f t="shared" si="44"/>
        <v>1.7648215683428818</v>
      </c>
      <c r="N45" s="29">
        <f t="shared" si="44"/>
        <v>1.1493879259576065</v>
      </c>
      <c r="O45" s="29">
        <f t="shared" si="44"/>
        <v>0.98385857033051505</v>
      </c>
      <c r="P45" s="29">
        <f t="shared" si="44"/>
        <v>0.9104234527687296</v>
      </c>
      <c r="Q45" s="29">
        <f t="shared" si="44"/>
        <v>0.75404780262143412</v>
      </c>
      <c r="R45" s="29">
        <f t="shared" ref="R45" si="45">R18/R23</f>
        <v>0.88915662650602412</v>
      </c>
      <c r="S45" s="1"/>
      <c r="T45" s="1"/>
    </row>
    <row r="46" spans="1:20" x14ac:dyDescent="0.3">
      <c r="A46" s="18" t="s">
        <v>97</v>
      </c>
      <c r="B46" s="17" t="s">
        <v>100</v>
      </c>
      <c r="C46" s="6" t="s">
        <v>111</v>
      </c>
      <c r="D46" s="28">
        <f t="shared" ref="D46:T46" si="46">D13/D4</f>
        <v>0</v>
      </c>
      <c r="E46" s="28">
        <f t="shared" si="46"/>
        <v>0</v>
      </c>
      <c r="F46" s="28">
        <f t="shared" si="46"/>
        <v>6.6666666666666666E-2</v>
      </c>
      <c r="G46" s="28">
        <f t="shared" si="46"/>
        <v>9.5890410958904118E-2</v>
      </c>
      <c r="H46" s="28">
        <f t="shared" si="46"/>
        <v>0.11111111111111112</v>
      </c>
      <c r="I46" s="28">
        <f t="shared" si="46"/>
        <v>0.1118881118881119</v>
      </c>
      <c r="J46" s="28">
        <f t="shared" si="46"/>
        <v>5.7971014492753631E-2</v>
      </c>
      <c r="K46" s="28">
        <f t="shared" si="46"/>
        <v>4.2307692307692303E-2</v>
      </c>
      <c r="L46" s="28">
        <f t="shared" si="46"/>
        <v>2.835538752362949E-2</v>
      </c>
      <c r="M46" s="28">
        <f t="shared" si="46"/>
        <v>3.7181996086105673E-2</v>
      </c>
      <c r="N46" s="28">
        <f t="shared" si="46"/>
        <v>0.15289648622981958</v>
      </c>
      <c r="O46" s="28">
        <f t="shared" si="46"/>
        <v>0.45066666666666666</v>
      </c>
      <c r="P46" s="28">
        <f t="shared" si="46"/>
        <v>0.10273972602739725</v>
      </c>
      <c r="Q46" s="28">
        <f t="shared" si="46"/>
        <v>0</v>
      </c>
      <c r="R46" s="28">
        <f t="shared" si="46"/>
        <v>4.3785310734463276E-2</v>
      </c>
      <c r="S46" s="28">
        <f t="shared" si="46"/>
        <v>3.081232492997199E-2</v>
      </c>
      <c r="T46" s="28">
        <f t="shared" si="46"/>
        <v>3.6414565826330535E-2</v>
      </c>
    </row>
  </sheetData>
  <mergeCells count="3">
    <mergeCell ref="A6:A13"/>
    <mergeCell ref="A14:A23"/>
    <mergeCell ref="P2:R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92160-3772-417F-9582-434301AFED1A}">
  <sheetPr codeName="Planilha33"/>
  <dimension ref="A2:AG46"/>
  <sheetViews>
    <sheetView zoomScaleNormal="100" workbookViewId="0">
      <pane xSplit="3" ySplit="3" topLeftCell="O24" activePane="bottomRight" state="frozen"/>
      <selection activeCell="C22" sqref="C22"/>
      <selection pane="topRight" activeCell="C22" sqref="C22"/>
      <selection pane="bottomLeft" activeCell="C22" sqref="C22"/>
      <selection pane="bottomRight" activeCell="AH37" sqref="AH37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2" width="8.33203125" customWidth="1"/>
  </cols>
  <sheetData>
    <row r="2" spans="1:33" x14ac:dyDescent="0.3">
      <c r="AC2" s="104" t="s">
        <v>102</v>
      </c>
      <c r="AD2" s="104"/>
      <c r="AE2" s="104"/>
      <c r="AF2" s="104"/>
    </row>
    <row r="3" spans="1:33" s="10" customFormat="1" x14ac:dyDescent="0.3">
      <c r="A3" s="9" t="s">
        <v>25</v>
      </c>
      <c r="B3" s="8" t="s">
        <v>23</v>
      </c>
      <c r="C3" s="9" t="s">
        <v>24</v>
      </c>
      <c r="D3" s="8">
        <v>93</v>
      </c>
      <c r="E3" s="8">
        <v>94</v>
      </c>
      <c r="F3" s="8">
        <v>95</v>
      </c>
      <c r="G3" s="8">
        <v>96</v>
      </c>
      <c r="H3" s="8">
        <v>97</v>
      </c>
      <c r="I3" s="8">
        <v>98</v>
      </c>
      <c r="J3" s="8">
        <v>99</v>
      </c>
      <c r="K3" s="8">
        <v>2000</v>
      </c>
      <c r="L3" s="8">
        <v>1</v>
      </c>
      <c r="M3" s="8">
        <v>2</v>
      </c>
      <c r="N3" s="8">
        <v>3</v>
      </c>
      <c r="O3" s="8">
        <v>4</v>
      </c>
      <c r="P3" s="8">
        <v>5</v>
      </c>
      <c r="Q3" s="8">
        <v>6</v>
      </c>
      <c r="R3" s="8">
        <v>7</v>
      </c>
      <c r="S3" s="8">
        <v>8</v>
      </c>
      <c r="T3" s="8">
        <v>9</v>
      </c>
      <c r="U3" s="8">
        <v>10</v>
      </c>
      <c r="V3" s="8">
        <v>11</v>
      </c>
      <c r="W3" s="8">
        <v>12</v>
      </c>
      <c r="X3" s="8">
        <v>13</v>
      </c>
      <c r="Y3" s="8">
        <v>14</v>
      </c>
      <c r="Z3" s="8">
        <v>15</v>
      </c>
      <c r="AA3" s="8">
        <v>16</v>
      </c>
      <c r="AB3" s="8">
        <v>17</v>
      </c>
      <c r="AC3" s="8">
        <v>18</v>
      </c>
      <c r="AD3" s="8">
        <v>19</v>
      </c>
      <c r="AE3" s="8">
        <v>20</v>
      </c>
      <c r="AF3" s="8" t="s">
        <v>3</v>
      </c>
      <c r="AG3" s="8" t="s">
        <v>94</v>
      </c>
    </row>
    <row r="4" spans="1:33" x14ac:dyDescent="0.3">
      <c r="A4" s="4" t="s">
        <v>5</v>
      </c>
      <c r="B4" s="11">
        <v>1</v>
      </c>
      <c r="C4" s="6" t="s">
        <v>4</v>
      </c>
      <c r="D4" s="19">
        <v>2.97</v>
      </c>
      <c r="E4" s="19">
        <v>2.6</v>
      </c>
      <c r="F4" s="19">
        <v>0.97</v>
      </c>
      <c r="G4" s="19">
        <v>2.1800000000000002</v>
      </c>
      <c r="H4" s="19">
        <v>1.79</v>
      </c>
      <c r="I4" s="19">
        <v>1.84</v>
      </c>
      <c r="J4" s="19">
        <v>2.16</v>
      </c>
      <c r="K4" s="19">
        <v>3.0139999999999998</v>
      </c>
      <c r="L4" s="19">
        <v>1.78</v>
      </c>
      <c r="M4" s="19">
        <v>1.06</v>
      </c>
      <c r="N4" s="19">
        <v>1.26</v>
      </c>
      <c r="O4" s="19">
        <v>3.84</v>
      </c>
      <c r="P4" s="19">
        <v>3.1</v>
      </c>
      <c r="Q4" s="19">
        <v>3.25</v>
      </c>
      <c r="R4" s="19">
        <v>8.5299999999999994</v>
      </c>
      <c r="S4" s="19">
        <v>6.58</v>
      </c>
      <c r="T4" s="19">
        <v>6.81</v>
      </c>
      <c r="U4" s="19">
        <v>6.07</v>
      </c>
      <c r="V4" s="19">
        <v>3.9</v>
      </c>
      <c r="W4" s="19">
        <v>2.27</v>
      </c>
      <c r="X4" s="19">
        <v>1.25</v>
      </c>
      <c r="Y4" s="19">
        <v>0.76</v>
      </c>
      <c r="Z4" s="19">
        <v>0.4</v>
      </c>
      <c r="AA4" s="19">
        <v>0.24</v>
      </c>
      <c r="AB4" s="19">
        <v>0.12</v>
      </c>
      <c r="AC4" s="19">
        <v>8.5000000000000006E-2</v>
      </c>
      <c r="AD4" s="19">
        <v>5.0500000000000003E-2</v>
      </c>
      <c r="AE4" s="19">
        <v>3.5000000000000003E-2</v>
      </c>
      <c r="AF4" s="19">
        <v>3.2000000000000001E-2</v>
      </c>
      <c r="AG4" s="1">
        <v>5.1499999999999997E-2</v>
      </c>
    </row>
    <row r="5" spans="1:33" x14ac:dyDescent="0.3">
      <c r="A5" s="5" t="s">
        <v>8</v>
      </c>
      <c r="B5" s="12">
        <v>3</v>
      </c>
      <c r="C5" s="1" t="s">
        <v>86</v>
      </c>
      <c r="D5" s="3"/>
      <c r="E5" s="3"/>
      <c r="F5" s="3"/>
      <c r="G5" s="3"/>
      <c r="H5" s="3"/>
      <c r="I5" s="3">
        <v>2</v>
      </c>
      <c r="J5" s="3">
        <v>2</v>
      </c>
      <c r="K5" s="3">
        <v>5.5</v>
      </c>
      <c r="L5" s="3">
        <v>6.5</v>
      </c>
      <c r="M5" s="3">
        <v>6.5</v>
      </c>
      <c r="N5" s="3">
        <v>6.5</v>
      </c>
      <c r="O5" s="3">
        <v>6.5</v>
      </c>
      <c r="P5" s="3">
        <v>6.5</v>
      </c>
      <c r="Q5" s="3">
        <v>6.5</v>
      </c>
      <c r="R5" s="3">
        <v>6.5</v>
      </c>
      <c r="S5" s="3">
        <v>8.9</v>
      </c>
      <c r="T5" s="3">
        <v>8.9</v>
      </c>
      <c r="U5" s="3">
        <v>10.9</v>
      </c>
      <c r="V5" s="3">
        <v>12.3</v>
      </c>
      <c r="W5" s="3">
        <v>14.6</v>
      </c>
      <c r="X5" s="3">
        <v>14.6</v>
      </c>
      <c r="Y5" s="3">
        <v>14.6</v>
      </c>
      <c r="Z5" s="3">
        <v>14.6</v>
      </c>
      <c r="AA5" s="3">
        <v>14.6</v>
      </c>
      <c r="AB5" s="3">
        <v>14.4</v>
      </c>
      <c r="AC5" s="3">
        <v>14.63</v>
      </c>
      <c r="AD5" s="3">
        <v>14.63</v>
      </c>
      <c r="AE5" s="3">
        <v>14.8</v>
      </c>
      <c r="AF5" s="3">
        <v>14.8</v>
      </c>
      <c r="AG5" s="3">
        <v>14.383507</v>
      </c>
    </row>
    <row r="6" spans="1:33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/>
      <c r="I6" s="7">
        <f>(2065015*5)/1000000</f>
        <v>10.325075</v>
      </c>
      <c r="J6" s="7">
        <f>(2321472*5)/1000000</f>
        <v>11.60736</v>
      </c>
      <c r="K6" s="7">
        <v>12.781620999999999</v>
      </c>
      <c r="L6" s="7">
        <v>23.055192000000002</v>
      </c>
      <c r="M6" s="7">
        <v>16.18609</v>
      </c>
      <c r="N6" s="7">
        <v>12.305823999999999</v>
      </c>
      <c r="O6" s="7">
        <v>33.103358</v>
      </c>
      <c r="P6" s="7">
        <v>22.936140000000002</v>
      </c>
      <c r="Q6" s="7">
        <v>27.766760999999999</v>
      </c>
      <c r="R6" s="7">
        <v>32.183979000000001</v>
      </c>
      <c r="S6" s="7">
        <v>62.565179999999998</v>
      </c>
      <c r="T6" s="7">
        <v>107.20587</v>
      </c>
      <c r="U6" s="7">
        <v>118.584</v>
      </c>
      <c r="V6" s="7">
        <v>110.1118</v>
      </c>
      <c r="W6" s="7">
        <v>130.21955</v>
      </c>
      <c r="X6" s="7">
        <v>112.732874</v>
      </c>
      <c r="Y6" s="7">
        <v>120</v>
      </c>
      <c r="Z6" s="7">
        <v>58.4</v>
      </c>
      <c r="AA6" s="7">
        <v>44.9</v>
      </c>
      <c r="AB6" s="7">
        <v>42</v>
      </c>
      <c r="AC6" s="7">
        <v>32.4</v>
      </c>
      <c r="AD6" s="7">
        <v>24.4</v>
      </c>
      <c r="AE6" s="7">
        <v>23.51</v>
      </c>
      <c r="AF6" s="7"/>
      <c r="AG6" s="1"/>
    </row>
    <row r="7" spans="1:33" x14ac:dyDescent="0.3">
      <c r="A7" s="101"/>
      <c r="B7" s="13">
        <v>5</v>
      </c>
      <c r="C7" s="1" t="s">
        <v>9</v>
      </c>
      <c r="D7" s="3"/>
      <c r="E7" s="3"/>
      <c r="F7" s="3"/>
      <c r="G7" s="3"/>
      <c r="H7" s="3"/>
      <c r="I7" s="50">
        <f>I8+(57045*5/1000000)</f>
        <v>1.020265</v>
      </c>
      <c r="J7" s="50">
        <f>J8+(73608*5/1000000)</f>
        <v>0.84755000000000003</v>
      </c>
      <c r="K7" s="3">
        <f>K8+0.686575</f>
        <v>1.6695660000000001</v>
      </c>
      <c r="L7" s="3">
        <f>L8+1.391377</f>
        <v>2.2811780000000002</v>
      </c>
      <c r="M7" s="3">
        <f>M8+1.887038</f>
        <v>0.70221700000000009</v>
      </c>
      <c r="N7" s="3">
        <f>N8+1.576616</f>
        <v>-0.63529999999999998</v>
      </c>
      <c r="O7" s="3">
        <f>O8+0.740978</f>
        <v>12.155744</v>
      </c>
      <c r="P7" s="3">
        <f>P8+0.601095</f>
        <v>1.4626700000000001</v>
      </c>
      <c r="Q7" s="3">
        <f>Q8+1.175769</f>
        <v>2.8524660000000002</v>
      </c>
      <c r="R7" s="3">
        <f>R8+1.501384</f>
        <v>3.7734288999999999</v>
      </c>
      <c r="S7" s="3">
        <f>S8+2.440882</f>
        <v>7.2016150000000003</v>
      </c>
      <c r="T7" s="3">
        <f>T8+2.93264</f>
        <v>9.6617889999999989</v>
      </c>
      <c r="U7" s="3">
        <f>U8+4.155577</f>
        <v>10.655577000000001</v>
      </c>
      <c r="V7" s="3">
        <f>V8+4.698623</f>
        <v>-3.739662</v>
      </c>
      <c r="W7" s="3">
        <f>W8+4.556108</f>
        <v>15.306883000000001</v>
      </c>
      <c r="X7" s="3">
        <f>X8+3.899875</f>
        <v>10.592941</v>
      </c>
      <c r="Y7" s="3">
        <v>9.9</v>
      </c>
      <c r="Z7" s="3">
        <v>5.7</v>
      </c>
      <c r="AA7" s="3">
        <v>2.8</v>
      </c>
      <c r="AB7" s="3">
        <v>4.0999999999999996</v>
      </c>
      <c r="AC7" s="3">
        <v>3</v>
      </c>
      <c r="AD7" s="3">
        <v>3.3</v>
      </c>
      <c r="AE7" s="3">
        <v>2.74</v>
      </c>
      <c r="AF7" s="3"/>
      <c r="AG7" s="1"/>
    </row>
    <row r="8" spans="1:33" x14ac:dyDescent="0.3">
      <c r="A8" s="101"/>
      <c r="B8" s="13">
        <v>6</v>
      </c>
      <c r="C8" s="6" t="s">
        <v>10</v>
      </c>
      <c r="D8" s="7"/>
      <c r="E8" s="7"/>
      <c r="F8" s="7"/>
      <c r="G8" s="7"/>
      <c r="H8" s="7"/>
      <c r="I8" s="19">
        <f>(147008*5)/1000000</f>
        <v>0.73504000000000003</v>
      </c>
      <c r="J8" s="19">
        <f>(95902*5)/1000000</f>
        <v>0.47950999999999999</v>
      </c>
      <c r="K8" s="7">
        <v>0.98299099999999995</v>
      </c>
      <c r="L8" s="7">
        <v>0.88980099999999995</v>
      </c>
      <c r="M8" s="7">
        <v>-1.1848209999999999</v>
      </c>
      <c r="N8" s="7">
        <v>-2.211916</v>
      </c>
      <c r="O8" s="7">
        <v>11.414766</v>
      </c>
      <c r="P8" s="7">
        <v>0.86157499999999998</v>
      </c>
      <c r="Q8" s="7">
        <v>1.6766970000000001</v>
      </c>
      <c r="R8" s="7">
        <v>2.2720449</v>
      </c>
      <c r="S8" s="7">
        <v>4.7607330000000001</v>
      </c>
      <c r="T8" s="7">
        <v>6.7291489999999996</v>
      </c>
      <c r="U8" s="7">
        <v>6.5</v>
      </c>
      <c r="V8" s="7">
        <v>-8.4382850000000005</v>
      </c>
      <c r="W8" s="7">
        <v>10.750775000000001</v>
      </c>
      <c r="X8" s="7">
        <v>6.693066</v>
      </c>
      <c r="Y8" s="7">
        <v>6.5</v>
      </c>
      <c r="Z8" s="7">
        <v>2.7</v>
      </c>
      <c r="AA8" s="19">
        <v>0</v>
      </c>
      <c r="AB8" s="7">
        <v>1.1000000000000001</v>
      </c>
      <c r="AC8" s="7">
        <v>-0.2</v>
      </c>
      <c r="AD8" s="7">
        <v>1.6</v>
      </c>
      <c r="AE8" s="7">
        <v>1.27</v>
      </c>
      <c r="AF8" s="7"/>
      <c r="AG8" s="1"/>
    </row>
    <row r="9" spans="1:33" x14ac:dyDescent="0.3">
      <c r="A9" s="101"/>
      <c r="B9" s="13">
        <v>11</v>
      </c>
      <c r="C9" s="1" t="s">
        <v>11</v>
      </c>
      <c r="D9" s="3"/>
      <c r="E9" s="3"/>
      <c r="F9" s="3"/>
      <c r="G9" s="3"/>
      <c r="H9" s="3"/>
      <c r="I9" s="50">
        <f>-(104478*5)/1000000</f>
        <v>-0.52239000000000002</v>
      </c>
      <c r="J9" s="50">
        <f>-(83498*5)/1000000</f>
        <v>-0.41749000000000003</v>
      </c>
      <c r="K9" s="3">
        <v>-1.3516330000000001</v>
      </c>
      <c r="L9" s="3">
        <v>-1.206817</v>
      </c>
      <c r="M9" s="3">
        <v>-1.8149489999999999</v>
      </c>
      <c r="N9" s="3">
        <v>-1.673219</v>
      </c>
      <c r="O9" s="35">
        <v>0.17198099999999999</v>
      </c>
      <c r="P9" s="35">
        <v>0.45182600000000001</v>
      </c>
      <c r="Q9" s="3">
        <v>-1.050421</v>
      </c>
      <c r="R9" s="3">
        <v>-1.764087</v>
      </c>
      <c r="S9" s="3">
        <v>-3.540095</v>
      </c>
      <c r="T9" s="3">
        <v>-3.5827499999999999</v>
      </c>
      <c r="U9" s="3">
        <v>-4.6823189999999997</v>
      </c>
      <c r="V9" s="3">
        <v>-7.0773849999999996</v>
      </c>
      <c r="W9" s="3">
        <v>-6.504505</v>
      </c>
      <c r="X9" s="3">
        <v>-4.7745340000000001</v>
      </c>
      <c r="Y9" s="3">
        <v>-4.4353170000000004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-0.9</v>
      </c>
      <c r="AF9" s="3">
        <v>0</v>
      </c>
      <c r="AG9" s="1"/>
    </row>
    <row r="10" spans="1:33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/>
      <c r="I10" s="36">
        <f>(34839*5)/1000000</f>
        <v>0.17419499999999999</v>
      </c>
      <c r="J10" s="36">
        <f>(1028919*5)/1000000</f>
        <v>5.1445949999999998</v>
      </c>
      <c r="K10" s="7">
        <v>0.50827500000000003</v>
      </c>
      <c r="L10" s="36">
        <v>-0.25320500000000001</v>
      </c>
      <c r="M10" s="7">
        <v>-1.0535890000000001</v>
      </c>
      <c r="N10" s="7">
        <v>3.9933290000000001</v>
      </c>
      <c r="O10" s="7">
        <v>11.586747000000001</v>
      </c>
      <c r="P10" s="7">
        <v>1.313402</v>
      </c>
      <c r="Q10" s="7">
        <v>0.62627600000000005</v>
      </c>
      <c r="R10" s="7">
        <v>0.95636200000000005</v>
      </c>
      <c r="S10" s="7">
        <v>1.2206379999999999</v>
      </c>
      <c r="T10" s="7">
        <v>3.1463990000000002</v>
      </c>
      <c r="U10" s="7">
        <v>1.817849</v>
      </c>
      <c r="V10" s="7">
        <v>-15.51567</v>
      </c>
      <c r="W10" s="7">
        <v>4.24627</v>
      </c>
      <c r="X10" s="7">
        <v>1.9185319999999999</v>
      </c>
      <c r="Y10" s="7">
        <v>2.0614279999999998</v>
      </c>
      <c r="Z10" s="7">
        <v>2.1</v>
      </c>
      <c r="AA10" s="7">
        <v>-1.1000000000000001</v>
      </c>
      <c r="AB10" s="7">
        <v>-2.9</v>
      </c>
      <c r="AC10" s="7">
        <v>-2.1</v>
      </c>
      <c r="AD10" s="7">
        <v>-3.7</v>
      </c>
      <c r="AE10" s="7">
        <v>0</v>
      </c>
      <c r="AF10" s="7">
        <v>0</v>
      </c>
      <c r="AG10" s="1"/>
    </row>
    <row r="11" spans="1:33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/>
      <c r="I11" s="35">
        <f>(3730*5)/1000000</f>
        <v>1.865E-2</v>
      </c>
      <c r="J11" s="35">
        <f>(1432*5)/1000000</f>
        <v>7.1599999999999997E-3</v>
      </c>
      <c r="K11" s="35">
        <v>6.1317000000000003E-3</v>
      </c>
      <c r="L11" s="35">
        <v>0.35353299999999999</v>
      </c>
      <c r="M11" s="35">
        <v>-9.3551999999999996E-2</v>
      </c>
      <c r="N11" s="3">
        <v>-0.973908</v>
      </c>
      <c r="O11" s="3">
        <v>-1.1895461000000001</v>
      </c>
      <c r="P11" s="3">
        <v>1.282276</v>
      </c>
      <c r="Q11" s="35">
        <v>0.33748400000000001</v>
      </c>
      <c r="R11" s="35">
        <v>0.45139400000000002</v>
      </c>
      <c r="S11" s="3">
        <v>0.54501900000000003</v>
      </c>
      <c r="T11" s="3">
        <v>2.0349849999999998</v>
      </c>
      <c r="U11" s="3">
        <v>0.63417100000000004</v>
      </c>
      <c r="V11" s="3">
        <v>-2.041499</v>
      </c>
      <c r="W11" s="3">
        <v>3.9549599999999998</v>
      </c>
      <c r="X11" s="3">
        <v>1.3747959999999999</v>
      </c>
      <c r="Y11" s="3">
        <v>1.3442149999999999</v>
      </c>
      <c r="Z11" s="3">
        <v>1.3</v>
      </c>
      <c r="AA11" s="35">
        <v>0.7</v>
      </c>
      <c r="AB11" s="35">
        <v>-0.3</v>
      </c>
      <c r="AC11" s="3">
        <v>-0.4</v>
      </c>
      <c r="AD11" s="3">
        <v>0.2</v>
      </c>
      <c r="AE11" s="3">
        <v>1.0900000000000001</v>
      </c>
      <c r="AF11" s="3"/>
      <c r="AG11" s="1"/>
    </row>
    <row r="12" spans="1:33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/>
      <c r="I12" s="36">
        <f>(31109*5)/1000000</f>
        <v>0.15554499999999999</v>
      </c>
      <c r="J12" s="36">
        <f>(1027487*5)/1000000</f>
        <v>5.137435</v>
      </c>
      <c r="K12" s="36">
        <v>0.44695800000000002</v>
      </c>
      <c r="L12" s="36">
        <v>-0.606738</v>
      </c>
      <c r="M12" s="7">
        <v>-1.147141</v>
      </c>
      <c r="N12" s="7">
        <v>-3.0194209999999999</v>
      </c>
      <c r="O12" s="7">
        <v>9.7003489999999992</v>
      </c>
      <c r="P12" s="7">
        <v>2.659395</v>
      </c>
      <c r="Q12" s="19">
        <v>0.28639900000000001</v>
      </c>
      <c r="R12" s="19">
        <v>0.45167499999999999</v>
      </c>
      <c r="S12" s="7">
        <v>0.62627299999999997</v>
      </c>
      <c r="T12" s="7">
        <v>1.141856</v>
      </c>
      <c r="U12" s="19">
        <v>0.26860699999999998</v>
      </c>
      <c r="V12" s="7">
        <v>-13.940842</v>
      </c>
      <c r="W12" s="7">
        <v>0.29131000000000001</v>
      </c>
      <c r="X12" s="7">
        <v>0.543736</v>
      </c>
      <c r="Y12" s="19">
        <v>0.41792099999999999</v>
      </c>
      <c r="Z12" s="19">
        <v>0.4</v>
      </c>
      <c r="AA12" s="7">
        <v>0.3</v>
      </c>
      <c r="AB12" s="7">
        <v>-2.9</v>
      </c>
      <c r="AC12" s="7">
        <v>-1.6</v>
      </c>
      <c r="AD12" s="7">
        <v>0.05</v>
      </c>
      <c r="AE12" s="7">
        <v>-1.06</v>
      </c>
      <c r="AF12" s="7"/>
      <c r="AG12" s="1"/>
    </row>
    <row r="13" spans="1:33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3"/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66">
        <v>0</v>
      </c>
      <c r="AD13" s="66">
        <v>0</v>
      </c>
      <c r="AE13" s="66">
        <v>0</v>
      </c>
      <c r="AF13" s="66">
        <v>0</v>
      </c>
      <c r="AG13" s="1"/>
    </row>
    <row r="14" spans="1:33" x14ac:dyDescent="0.3">
      <c r="A14" s="111" t="s">
        <v>14</v>
      </c>
      <c r="B14" s="14">
        <v>8</v>
      </c>
      <c r="C14" s="6" t="s">
        <v>16</v>
      </c>
      <c r="D14" s="7"/>
      <c r="E14" s="7"/>
      <c r="F14" s="7"/>
      <c r="G14" s="7"/>
      <c r="H14" s="7"/>
      <c r="I14" s="7">
        <f>-(331408*5)/1000000</f>
        <v>-1.6570400000000001</v>
      </c>
      <c r="J14" s="7">
        <f>-(331408*5)/1000000</f>
        <v>-1.6570400000000001</v>
      </c>
      <c r="K14" s="7">
        <v>1.213578</v>
      </c>
      <c r="L14" s="7">
        <v>1.8934470000000001</v>
      </c>
      <c r="M14" s="7">
        <v>5.1873100000000001</v>
      </c>
      <c r="N14" s="7">
        <v>3.6640480000000002</v>
      </c>
      <c r="O14" s="7">
        <v>9.7003489999999992</v>
      </c>
      <c r="P14" s="7">
        <v>2.659395</v>
      </c>
      <c r="Q14" s="7">
        <v>0.85169499999999998</v>
      </c>
      <c r="R14" s="7">
        <v>-2.2093660000000002</v>
      </c>
      <c r="S14" s="7">
        <v>19.150973</v>
      </c>
      <c r="T14" s="7">
        <v>-2.3794339999999998</v>
      </c>
      <c r="U14" s="7">
        <v>3.4531420000000002</v>
      </c>
      <c r="V14" s="7">
        <v>3.9522379999999999</v>
      </c>
      <c r="W14" s="7">
        <v>3.5886640000000001</v>
      </c>
      <c r="X14" s="7">
        <v>3.5286379999999999</v>
      </c>
      <c r="Y14" s="7">
        <v>4.1258980000000003</v>
      </c>
      <c r="Z14" s="7">
        <v>5.4</v>
      </c>
      <c r="AA14" s="7">
        <v>1.9</v>
      </c>
      <c r="AB14" s="7">
        <v>3.1</v>
      </c>
      <c r="AC14" s="7">
        <v>1.2</v>
      </c>
      <c r="AD14" s="7">
        <v>1.2</v>
      </c>
      <c r="AE14" s="7">
        <v>1.1000000000000001</v>
      </c>
      <c r="AF14" s="7"/>
      <c r="AG14" s="1"/>
    </row>
    <row r="15" spans="1:33" x14ac:dyDescent="0.3">
      <c r="A15" s="112"/>
      <c r="B15" s="14">
        <v>7</v>
      </c>
      <c r="C15" s="1" t="s">
        <v>17</v>
      </c>
      <c r="D15" s="3"/>
      <c r="E15" s="3"/>
      <c r="F15" s="3"/>
      <c r="G15" s="3"/>
      <c r="H15" s="3"/>
      <c r="I15" s="3">
        <f>(381780+1647990+1775628)*5/1000000</f>
        <v>19.026990000000001</v>
      </c>
      <c r="J15" s="3">
        <f>(1636891+1667291+88006+540984)*5/1000000</f>
        <v>19.665859999999999</v>
      </c>
      <c r="K15" s="3">
        <f>1.671172+5.770972+0.09561+0.962106</f>
        <v>8.49986</v>
      </c>
      <c r="L15" s="3">
        <f>1.65755+6.054095+0.171372+4.877206</f>
        <v>12.760223</v>
      </c>
      <c r="M15" s="3">
        <f>1.633054+6.682498+0.087594+8.694887</f>
        <v>17.098033000000001</v>
      </c>
      <c r="N15" s="3">
        <f>1.510193+14.046204+0.087594+5.818669</f>
        <v>21.46266</v>
      </c>
      <c r="O15" s="3">
        <f>5.049011+2.913306</f>
        <v>7.9623170000000005</v>
      </c>
      <c r="P15" s="3">
        <f>5.049011+2.913306</f>
        <v>7.9623170000000005</v>
      </c>
      <c r="Q15" s="3">
        <f>2.604784+2.465149</f>
        <v>5.0699329999999998</v>
      </c>
      <c r="R15" s="3">
        <f>5.864+2.390208</f>
        <v>8.2542080000000002</v>
      </c>
      <c r="S15" s="3">
        <f>18.148698+8.197345</f>
        <v>26.346043000000002</v>
      </c>
      <c r="T15" s="3">
        <f>20.630401+31.276061</f>
        <v>51.906461999999998</v>
      </c>
      <c r="U15" s="3">
        <f>25.29499+58.392057</f>
        <v>83.687047000000007</v>
      </c>
      <c r="V15" s="3">
        <f>44.856585+28.703107</f>
        <v>73.559691999999998</v>
      </c>
      <c r="W15" s="3">
        <f>46.911706+18.21058</f>
        <v>65.122286000000003</v>
      </c>
      <c r="X15" s="3">
        <f>52.983233+10.266056</f>
        <v>63.249288999999997</v>
      </c>
      <c r="Y15" s="3">
        <f>52.567537+9.386493</f>
        <v>61.954030000000003</v>
      </c>
      <c r="Z15" s="3">
        <v>68.599999999999994</v>
      </c>
      <c r="AA15" s="3">
        <v>66.900000000000006</v>
      </c>
      <c r="AB15" s="3">
        <v>62.2</v>
      </c>
      <c r="AC15" s="3">
        <v>60.4</v>
      </c>
      <c r="AD15" s="3">
        <v>60</v>
      </c>
      <c r="AE15" s="3">
        <v>59.7</v>
      </c>
      <c r="AF15" s="3"/>
      <c r="AG15" s="1"/>
    </row>
    <row r="16" spans="1:33" x14ac:dyDescent="0.3">
      <c r="A16" s="112"/>
      <c r="B16" s="14">
        <v>9</v>
      </c>
      <c r="C16" s="6" t="s">
        <v>92</v>
      </c>
      <c r="D16" s="7"/>
      <c r="E16" s="7"/>
      <c r="F16" s="7"/>
      <c r="G16" s="7"/>
      <c r="H16" s="7"/>
      <c r="I16" s="19">
        <f>(48347*5)/1000000</f>
        <v>0.24173500000000001</v>
      </c>
      <c r="J16" s="19">
        <f>(24709*5)/1000000</f>
        <v>0.123545</v>
      </c>
      <c r="K16" s="19">
        <v>1.3861999999999999E-2</v>
      </c>
      <c r="L16" s="7">
        <v>1.3212410000000001</v>
      </c>
      <c r="M16" s="7">
        <v>0.91254500000000005</v>
      </c>
      <c r="N16" s="19">
        <v>0.74487499999999995</v>
      </c>
      <c r="O16" s="19">
        <v>0.74349299999999996</v>
      </c>
      <c r="P16" s="19">
        <v>0.25636399999999998</v>
      </c>
      <c r="Q16" s="19">
        <v>6.3908000000000006E-2</v>
      </c>
      <c r="R16" s="19">
        <v>0.549759</v>
      </c>
      <c r="S16" s="19">
        <v>0.401646</v>
      </c>
      <c r="T16" s="19">
        <v>0.33250099999999999</v>
      </c>
      <c r="U16" s="19">
        <v>0.105032</v>
      </c>
      <c r="V16" s="19">
        <v>-0.62841999999999998</v>
      </c>
      <c r="W16" s="19">
        <v>-0.40374700000000002</v>
      </c>
      <c r="X16" s="19">
        <v>-0.40374700000000002</v>
      </c>
      <c r="Y16" s="19">
        <v>0.62029500000000004</v>
      </c>
      <c r="Z16" s="19">
        <v>0.67126600000000003</v>
      </c>
      <c r="AA16" s="36">
        <v>0.2</v>
      </c>
      <c r="AB16" s="36">
        <v>0.1</v>
      </c>
      <c r="AC16" s="36">
        <v>0.1</v>
      </c>
      <c r="AD16" s="36">
        <v>0.2</v>
      </c>
      <c r="AE16" s="7">
        <v>0.2</v>
      </c>
      <c r="AF16" s="7"/>
      <c r="AG16" s="1"/>
    </row>
    <row r="17" spans="1:33" x14ac:dyDescent="0.3">
      <c r="A17" s="112"/>
      <c r="B17" s="14">
        <v>10</v>
      </c>
      <c r="C17" s="1" t="s">
        <v>18</v>
      </c>
      <c r="D17" s="3"/>
      <c r="E17" s="3"/>
      <c r="F17" s="3"/>
      <c r="G17" s="3"/>
      <c r="H17" s="3"/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1"/>
    </row>
    <row r="18" spans="1:33" x14ac:dyDescent="0.3">
      <c r="A18" s="112"/>
      <c r="B18" s="14">
        <v>15</v>
      </c>
      <c r="C18" s="6" t="s">
        <v>19</v>
      </c>
      <c r="D18" s="7"/>
      <c r="E18" s="7"/>
      <c r="F18" s="7"/>
      <c r="G18" s="7"/>
      <c r="H18" s="7"/>
      <c r="I18" s="7">
        <f>(5467819*5)/1000000</f>
        <v>27.339095</v>
      </c>
      <c r="J18" s="7">
        <f>(5460564*5)/1000000</f>
        <v>27.302820000000001</v>
      </c>
      <c r="K18" s="7">
        <v>17.622899</v>
      </c>
      <c r="L18" s="7">
        <v>27.170034999999999</v>
      </c>
      <c r="M18" s="7">
        <v>29.130742999999999</v>
      </c>
      <c r="N18" s="7">
        <v>35.001286999999998</v>
      </c>
      <c r="O18" s="7">
        <f>12.030757+16.207892</f>
        <v>28.238649000000002</v>
      </c>
      <c r="P18" s="7">
        <f>8.80749+14.398051</f>
        <v>23.205541</v>
      </c>
      <c r="Q18" s="7">
        <f>Q19+16.551661</f>
        <v>34.269277000000002</v>
      </c>
      <c r="R18" s="7">
        <f>R19+18.129134</f>
        <v>33.560918999999998</v>
      </c>
      <c r="S18" s="7">
        <f>S19+29.175346</f>
        <v>109.53396000000001</v>
      </c>
      <c r="T18" s="7">
        <f>T19+30.685414</f>
        <v>122.90754799999999</v>
      </c>
      <c r="U18" s="7">
        <v>162.67143899999999</v>
      </c>
      <c r="V18" s="7">
        <v>150.03426899999999</v>
      </c>
      <c r="W18" s="7">
        <v>150.88642899999999</v>
      </c>
      <c r="X18" s="7">
        <v>156.315448</v>
      </c>
      <c r="Y18" s="7">
        <v>160.71629300000001</v>
      </c>
      <c r="Z18" s="7">
        <v>169.6</v>
      </c>
      <c r="AA18" s="7">
        <v>140.5</v>
      </c>
      <c r="AB18" s="7">
        <v>140.4</v>
      </c>
      <c r="AC18" s="7">
        <v>144.69999999999999</v>
      </c>
      <c r="AD18" s="7">
        <v>148</v>
      </c>
      <c r="AE18" s="7">
        <v>144.80000000000001</v>
      </c>
      <c r="AF18" s="7"/>
      <c r="AG18" s="1"/>
    </row>
    <row r="19" spans="1:33" x14ac:dyDescent="0.3">
      <c r="A19" s="112"/>
      <c r="B19" s="14">
        <v>18</v>
      </c>
      <c r="C19" s="1" t="s">
        <v>21</v>
      </c>
      <c r="D19" s="3"/>
      <c r="E19" s="3"/>
      <c r="F19" s="3"/>
      <c r="G19" s="3"/>
      <c r="H19" s="3"/>
      <c r="I19" s="3">
        <f>(1335618*5)/1000000</f>
        <v>6.6780900000000001</v>
      </c>
      <c r="J19" s="3">
        <f>(2630128*5)/1000000</f>
        <v>13.150639999999999</v>
      </c>
      <c r="K19" s="3">
        <v>6.4625500000000002</v>
      </c>
      <c r="L19" s="3">
        <v>14.198217</v>
      </c>
      <c r="M19" s="3">
        <v>15.917764</v>
      </c>
      <c r="N19" s="3">
        <v>14.349754000000001</v>
      </c>
      <c r="O19" s="3">
        <v>16.207892000000001</v>
      </c>
      <c r="P19" s="3">
        <v>14.398051000000001</v>
      </c>
      <c r="Q19" s="3">
        <f>17.717616</f>
        <v>17.717616</v>
      </c>
      <c r="R19" s="3">
        <v>15.431785</v>
      </c>
      <c r="S19" s="3">
        <v>80.358614000000003</v>
      </c>
      <c r="T19" s="3">
        <v>92.222133999999997</v>
      </c>
      <c r="U19" s="3">
        <v>114.80844500000001</v>
      </c>
      <c r="V19" s="3">
        <v>82.194063</v>
      </c>
      <c r="W19" s="3">
        <v>81.725149000000002</v>
      </c>
      <c r="X19" s="3">
        <v>68.958785000000006</v>
      </c>
      <c r="Y19" s="3">
        <v>74.2</v>
      </c>
      <c r="Z19" s="3">
        <v>70.5</v>
      </c>
      <c r="AA19" s="3">
        <v>44.978015999999997</v>
      </c>
      <c r="AB19" s="3">
        <v>48.032983999999999</v>
      </c>
      <c r="AC19" s="3">
        <v>49.3</v>
      </c>
      <c r="AD19" s="3">
        <v>85.3</v>
      </c>
      <c r="AE19" s="3">
        <v>83</v>
      </c>
      <c r="AF19" s="3"/>
      <c r="AG19" s="1"/>
    </row>
    <row r="20" spans="1:33" x14ac:dyDescent="0.3">
      <c r="A20" s="112"/>
      <c r="B20" s="14">
        <v>17</v>
      </c>
      <c r="C20" s="6" t="s">
        <v>22</v>
      </c>
      <c r="D20" s="7"/>
      <c r="E20" s="7"/>
      <c r="F20" s="7"/>
      <c r="G20" s="7"/>
      <c r="H20" s="7"/>
      <c r="I20" s="7">
        <f>(26572+279409+1147187+40448)*5/1000000</f>
        <v>7.4680799999999996</v>
      </c>
      <c r="J20" s="7">
        <f>(19676+1435128+283520)*5/1000000</f>
        <v>8.6916200000000003</v>
      </c>
      <c r="K20" s="7">
        <f>0.145439+11.393916+5.446584</f>
        <v>16.985939000000002</v>
      </c>
      <c r="L20" s="7">
        <f>2.211096+14.626425+0.779516</f>
        <v>17.617037</v>
      </c>
      <c r="M20" s="7">
        <f>2.353906+12.229978+3.822984</f>
        <v>18.406867999999999</v>
      </c>
      <c r="N20" s="7">
        <f>1.645063+7.249503+3.312479</f>
        <v>12.207044999999999</v>
      </c>
      <c r="O20" s="7">
        <v>17.336034999999999</v>
      </c>
      <c r="P20" s="7">
        <v>13.218916999999999</v>
      </c>
      <c r="Q20" s="7">
        <v>14.277167</v>
      </c>
      <c r="R20" s="7">
        <v>13.554290999999999</v>
      </c>
      <c r="S20" s="7">
        <v>61.175992999999998</v>
      </c>
      <c r="T20" s="7">
        <v>58.993492000000003</v>
      </c>
      <c r="U20" s="7">
        <v>76.524833000000001</v>
      </c>
      <c r="V20" s="7">
        <v>76.625040999999996</v>
      </c>
      <c r="W20" s="7">
        <v>87.750427000000002</v>
      </c>
      <c r="X20" s="7">
        <v>91.377937000000003</v>
      </c>
      <c r="Y20" s="7">
        <v>102</v>
      </c>
      <c r="Z20" s="7">
        <v>128.1</v>
      </c>
      <c r="AA20" s="7">
        <v>100</v>
      </c>
      <c r="AB20" s="7">
        <v>83.9</v>
      </c>
      <c r="AC20" s="7">
        <v>66.400000000000006</v>
      </c>
      <c r="AD20" s="7">
        <v>69</v>
      </c>
      <c r="AE20" s="7">
        <v>49.9</v>
      </c>
      <c r="AF20" s="7"/>
      <c r="AG20" s="1"/>
    </row>
    <row r="21" spans="1:33" x14ac:dyDescent="0.3">
      <c r="A21" s="112"/>
      <c r="B21" s="14">
        <v>19</v>
      </c>
      <c r="C21" s="1" t="s">
        <v>88</v>
      </c>
      <c r="D21" s="3"/>
      <c r="E21" s="3"/>
      <c r="F21" s="3"/>
      <c r="G21" s="3"/>
      <c r="H21" s="3"/>
      <c r="I21" s="35">
        <f>(26572*5)/1000000</f>
        <v>0.13286000000000001</v>
      </c>
      <c r="J21" s="35">
        <f>(19676*5)/1000000</f>
        <v>9.8379999999999995E-2</v>
      </c>
      <c r="K21" s="35">
        <v>0.14543900000000001</v>
      </c>
      <c r="L21" s="3">
        <v>2.211096</v>
      </c>
      <c r="M21" s="3">
        <v>2.3539059999999998</v>
      </c>
      <c r="N21" s="3">
        <v>1.6450629999999999</v>
      </c>
      <c r="O21" s="3">
        <v>1.4529019999999999</v>
      </c>
      <c r="P21" s="3">
        <v>1.437846</v>
      </c>
      <c r="Q21" s="3">
        <v>1.257433</v>
      </c>
      <c r="R21" s="3">
        <v>1.022103</v>
      </c>
      <c r="S21" s="3">
        <v>1.238421</v>
      </c>
      <c r="T21" s="3">
        <v>1.2909520000000001</v>
      </c>
      <c r="U21" s="3">
        <v>0.66864599999999996</v>
      </c>
      <c r="V21" s="3">
        <v>0.90264699999999998</v>
      </c>
      <c r="W21" s="3">
        <v>1.9118170000000001</v>
      </c>
      <c r="X21" s="35">
        <v>0.29541699999999999</v>
      </c>
      <c r="Y21" s="35">
        <v>0.35528500000000002</v>
      </c>
      <c r="Z21" s="35">
        <v>0.31555899999999998</v>
      </c>
      <c r="AA21" s="50">
        <v>0.5</v>
      </c>
      <c r="AB21" s="50">
        <v>0.4</v>
      </c>
      <c r="AC21" s="50">
        <v>0.2</v>
      </c>
      <c r="AD21" s="50">
        <v>0.2</v>
      </c>
      <c r="AE21" s="3">
        <v>0.2</v>
      </c>
      <c r="AF21" s="3"/>
      <c r="AG21" s="1"/>
    </row>
    <row r="22" spans="1:33" x14ac:dyDescent="0.3">
      <c r="A22" s="112"/>
      <c r="B22" s="14">
        <v>20</v>
      </c>
      <c r="C22" s="6" t="s">
        <v>87</v>
      </c>
      <c r="D22" s="7"/>
      <c r="E22" s="7"/>
      <c r="F22" s="7"/>
      <c r="G22" s="7"/>
      <c r="H22" s="7"/>
      <c r="I22" s="7">
        <f>(504052+5331)*5/1000000</f>
        <v>2.5469149999999998</v>
      </c>
      <c r="J22" s="7">
        <f>(473261+130)*5/1000000</f>
        <v>2.3669549999999999</v>
      </c>
      <c r="K22" s="7">
        <v>5.6493849999999997</v>
      </c>
      <c r="L22" s="7">
        <v>10.18899</v>
      </c>
      <c r="M22" s="7">
        <f>4.915245+0.179641</f>
        <v>5.0948859999999998</v>
      </c>
      <c r="N22" s="7">
        <f>4.151364+0.089797</f>
        <v>4.241161</v>
      </c>
      <c r="O22" s="7">
        <v>4.8693470000000003</v>
      </c>
      <c r="P22" s="7">
        <v>4.8597060000000001</v>
      </c>
      <c r="Q22" s="7">
        <v>6.0696180000000002</v>
      </c>
      <c r="R22" s="7">
        <v>6.5881169999999996</v>
      </c>
      <c r="S22" s="7">
        <v>26.712014</v>
      </c>
      <c r="T22" s="7">
        <v>39.360472000000001</v>
      </c>
      <c r="U22" s="7">
        <v>42.884704999999997</v>
      </c>
      <c r="V22" s="7">
        <v>42.632288000000003</v>
      </c>
      <c r="W22" s="7">
        <v>44.785325</v>
      </c>
      <c r="X22" s="7">
        <v>67.323329999999999</v>
      </c>
      <c r="Y22" s="7">
        <v>74.2</v>
      </c>
      <c r="Z22" s="7">
        <v>63.8</v>
      </c>
      <c r="AA22" s="7">
        <v>77.400000000000006</v>
      </c>
      <c r="AB22" s="7">
        <v>64.7</v>
      </c>
      <c r="AC22" s="7">
        <v>41.8</v>
      </c>
      <c r="AD22" s="7">
        <v>37.5</v>
      </c>
      <c r="AE22" s="7">
        <v>17.8</v>
      </c>
      <c r="AF22" s="7"/>
      <c r="AG22" s="1"/>
    </row>
    <row r="23" spans="1:33" x14ac:dyDescent="0.3">
      <c r="A23" s="112"/>
      <c r="B23" s="14">
        <v>16</v>
      </c>
      <c r="C23" s="1" t="s">
        <v>20</v>
      </c>
      <c r="D23" s="3"/>
      <c r="E23" s="3"/>
      <c r="F23" s="3"/>
      <c r="G23" s="3"/>
      <c r="H23" s="3"/>
      <c r="I23" s="3">
        <f>(1907819*5)/1000000</f>
        <v>9.5390949999999997</v>
      </c>
      <c r="J23" s="3">
        <f>(2552145*5)/1000000</f>
        <v>12.760725000000001</v>
      </c>
      <c r="K23" s="3">
        <v>38.443446000000002</v>
      </c>
      <c r="L23" s="3">
        <v>33.484507000000001</v>
      </c>
      <c r="M23" s="3">
        <v>27.972373000000001</v>
      </c>
      <c r="N23" s="3">
        <v>25.863102999999999</v>
      </c>
      <c r="O23" s="3">
        <v>3.0141420000000001</v>
      </c>
      <c r="P23" s="3">
        <v>3.1472199999999999</v>
      </c>
      <c r="Q23" s="3">
        <v>0.971997</v>
      </c>
      <c r="R23" s="3">
        <v>2.2910819999999998</v>
      </c>
      <c r="S23" s="3">
        <v>20.126736999999999</v>
      </c>
      <c r="T23" s="3">
        <v>20.537776999999998</v>
      </c>
      <c r="U23" s="3">
        <v>29.227347999999999</v>
      </c>
      <c r="V23" s="3">
        <v>34.729080000000003</v>
      </c>
      <c r="W23" s="3">
        <v>34.270170999999998</v>
      </c>
      <c r="X23" s="3">
        <v>34.955233999999997</v>
      </c>
      <c r="Y23" s="3">
        <v>35.1</v>
      </c>
      <c r="Z23" s="3">
        <v>35.200000000000003</v>
      </c>
      <c r="AA23" s="3">
        <v>32.200000000000003</v>
      </c>
      <c r="AB23" s="3">
        <v>30.8</v>
      </c>
      <c r="AC23" s="3">
        <v>26.6</v>
      </c>
      <c r="AD23" s="3">
        <v>15.3</v>
      </c>
      <c r="AE23" s="3">
        <v>15</v>
      </c>
      <c r="AF23" s="3"/>
      <c r="AG23" s="1"/>
    </row>
    <row r="25" spans="1:33" x14ac:dyDescent="0.3">
      <c r="A25" s="9" t="s">
        <v>71</v>
      </c>
      <c r="B25" s="8"/>
      <c r="C25" s="9" t="s">
        <v>26</v>
      </c>
      <c r="D25" s="8">
        <v>93</v>
      </c>
      <c r="E25" s="8">
        <v>94</v>
      </c>
      <c r="F25" s="8">
        <v>95</v>
      </c>
      <c r="G25" s="8">
        <v>96</v>
      </c>
      <c r="H25" s="8">
        <v>97</v>
      </c>
      <c r="I25" s="8">
        <v>98</v>
      </c>
      <c r="J25" s="8">
        <v>99</v>
      </c>
      <c r="K25" s="8">
        <v>2000</v>
      </c>
      <c r="L25" s="8">
        <v>1</v>
      </c>
      <c r="M25" s="8">
        <v>2</v>
      </c>
      <c r="N25" s="8">
        <v>3</v>
      </c>
      <c r="O25" s="8">
        <v>4</v>
      </c>
      <c r="P25" s="8">
        <v>5</v>
      </c>
      <c r="Q25" s="8">
        <v>6</v>
      </c>
      <c r="R25" s="8">
        <v>7</v>
      </c>
      <c r="S25" s="8">
        <v>8</v>
      </c>
      <c r="T25" s="8">
        <v>9</v>
      </c>
      <c r="U25" s="8">
        <v>10</v>
      </c>
      <c r="V25" s="8">
        <v>11</v>
      </c>
      <c r="W25" s="8">
        <v>12</v>
      </c>
      <c r="X25" s="8">
        <v>13</v>
      </c>
      <c r="Y25" s="8">
        <v>14</v>
      </c>
      <c r="Z25" s="8">
        <v>15</v>
      </c>
      <c r="AA25" s="8">
        <v>16</v>
      </c>
      <c r="AB25" s="8">
        <v>17</v>
      </c>
      <c r="AC25" s="8">
        <v>18</v>
      </c>
      <c r="AD25" s="8">
        <v>19</v>
      </c>
      <c r="AE25" s="8">
        <v>20</v>
      </c>
      <c r="AF25" s="8" t="s">
        <v>3</v>
      </c>
      <c r="AG25" s="8" t="s">
        <v>94</v>
      </c>
    </row>
    <row r="26" spans="1:33" x14ac:dyDescent="0.3">
      <c r="A26" s="6" t="s">
        <v>65</v>
      </c>
      <c r="B26" s="17" t="s">
        <v>27</v>
      </c>
      <c r="C26" s="6" t="s">
        <v>85</v>
      </c>
      <c r="D26" s="7">
        <f t="shared" ref="D26:AG26" si="0">D4*D5</f>
        <v>0</v>
      </c>
      <c r="E26" s="7">
        <f t="shared" si="0"/>
        <v>0</v>
      </c>
      <c r="F26" s="7">
        <f t="shared" si="0"/>
        <v>0</v>
      </c>
      <c r="G26" s="7">
        <f t="shared" si="0"/>
        <v>0</v>
      </c>
      <c r="H26" s="7">
        <f t="shared" si="0"/>
        <v>0</v>
      </c>
      <c r="I26" s="7">
        <f t="shared" si="0"/>
        <v>3.68</v>
      </c>
      <c r="J26" s="7">
        <f t="shared" si="0"/>
        <v>4.32</v>
      </c>
      <c r="K26" s="7">
        <f t="shared" si="0"/>
        <v>16.576999999999998</v>
      </c>
      <c r="L26" s="7">
        <f t="shared" si="0"/>
        <v>11.57</v>
      </c>
      <c r="M26" s="7">
        <f t="shared" si="0"/>
        <v>6.8900000000000006</v>
      </c>
      <c r="N26" s="7">
        <f t="shared" si="0"/>
        <v>8.19</v>
      </c>
      <c r="O26" s="7">
        <f t="shared" si="0"/>
        <v>24.96</v>
      </c>
      <c r="P26" s="7">
        <f t="shared" si="0"/>
        <v>20.150000000000002</v>
      </c>
      <c r="Q26" s="7">
        <f t="shared" si="0"/>
        <v>21.125</v>
      </c>
      <c r="R26" s="7">
        <f t="shared" si="0"/>
        <v>55.444999999999993</v>
      </c>
      <c r="S26" s="7">
        <f t="shared" si="0"/>
        <v>58.562000000000005</v>
      </c>
      <c r="T26" s="7">
        <f t="shared" si="0"/>
        <v>60.609000000000002</v>
      </c>
      <c r="U26" s="7">
        <f t="shared" si="0"/>
        <v>66.163000000000011</v>
      </c>
      <c r="V26" s="7">
        <f t="shared" si="0"/>
        <v>47.97</v>
      </c>
      <c r="W26" s="7">
        <f t="shared" si="0"/>
        <v>33.141999999999996</v>
      </c>
      <c r="X26" s="7">
        <f t="shared" si="0"/>
        <v>18.25</v>
      </c>
      <c r="Y26" s="7">
        <f t="shared" si="0"/>
        <v>11.096</v>
      </c>
      <c r="Z26" s="7">
        <f t="shared" si="0"/>
        <v>5.84</v>
      </c>
      <c r="AA26" s="7">
        <f t="shared" si="0"/>
        <v>3.504</v>
      </c>
      <c r="AB26" s="7">
        <f t="shared" si="0"/>
        <v>1.728</v>
      </c>
      <c r="AC26" s="7">
        <f t="shared" si="0"/>
        <v>1.2435500000000002</v>
      </c>
      <c r="AD26" s="7">
        <f t="shared" si="0"/>
        <v>0.73881500000000011</v>
      </c>
      <c r="AE26" s="7">
        <f t="shared" si="0"/>
        <v>0.51800000000000013</v>
      </c>
      <c r="AF26" s="7">
        <f t="shared" si="0"/>
        <v>0.47360000000000002</v>
      </c>
      <c r="AG26" s="7">
        <f t="shared" si="0"/>
        <v>0.74075061049999991</v>
      </c>
    </row>
    <row r="27" spans="1:33" x14ac:dyDescent="0.3">
      <c r="A27" s="1" t="s">
        <v>66</v>
      </c>
      <c r="B27" s="2" t="s">
        <v>28</v>
      </c>
      <c r="C27" s="1" t="s">
        <v>47</v>
      </c>
      <c r="D27" s="30" t="e">
        <f t="shared" ref="D27:AD27" si="1">D26/D6</f>
        <v>#DIV/0!</v>
      </c>
      <c r="E27" s="30" t="e">
        <f t="shared" si="1"/>
        <v>#DIV/0!</v>
      </c>
      <c r="F27" s="30" t="e">
        <f t="shared" si="1"/>
        <v>#DIV/0!</v>
      </c>
      <c r="G27" s="30" t="e">
        <f t="shared" si="1"/>
        <v>#DIV/0!</v>
      </c>
      <c r="H27" s="30" t="e">
        <f t="shared" si="1"/>
        <v>#DIV/0!</v>
      </c>
      <c r="I27" s="30">
        <f t="shared" si="1"/>
        <v>0.35641387592826201</v>
      </c>
      <c r="J27" s="30">
        <f t="shared" si="1"/>
        <v>0.37217765279960302</v>
      </c>
      <c r="K27" s="30">
        <f t="shared" si="1"/>
        <v>1.2969403489588682</v>
      </c>
      <c r="L27" s="30">
        <f t="shared" si="1"/>
        <v>0.50183923864091007</v>
      </c>
      <c r="M27" s="30">
        <f t="shared" si="1"/>
        <v>0.42567414366286116</v>
      </c>
      <c r="N27" s="30">
        <f t="shared" si="1"/>
        <v>0.66553852874866404</v>
      </c>
      <c r="O27" s="30">
        <f t="shared" si="1"/>
        <v>0.7540020562264409</v>
      </c>
      <c r="P27" s="30">
        <f t="shared" si="1"/>
        <v>0.87852620362449829</v>
      </c>
      <c r="Q27" s="30">
        <f t="shared" si="1"/>
        <v>0.76080173701210596</v>
      </c>
      <c r="R27" s="30">
        <f t="shared" si="1"/>
        <v>1.7227515590909375</v>
      </c>
      <c r="S27" s="30">
        <f t="shared" si="1"/>
        <v>0.93601584779265412</v>
      </c>
      <c r="T27" s="30">
        <f t="shared" si="1"/>
        <v>0.56535150547260149</v>
      </c>
      <c r="U27" s="30">
        <f t="shared" si="1"/>
        <v>0.55794204951764159</v>
      </c>
      <c r="V27" s="30">
        <f t="shared" si="1"/>
        <v>0.43564813217112058</v>
      </c>
      <c r="W27" s="30">
        <f t="shared" si="1"/>
        <v>0.25450863560809417</v>
      </c>
      <c r="X27" s="30">
        <f t="shared" si="1"/>
        <v>0.16188711732834915</v>
      </c>
      <c r="Y27" s="30">
        <f t="shared" si="1"/>
        <v>9.2466666666666669E-2</v>
      </c>
      <c r="Z27" s="30">
        <f t="shared" si="1"/>
        <v>0.1</v>
      </c>
      <c r="AA27" s="30">
        <f t="shared" si="1"/>
        <v>7.8040089086859693E-2</v>
      </c>
      <c r="AB27" s="30">
        <f t="shared" si="1"/>
        <v>4.1142857142857141E-2</v>
      </c>
      <c r="AC27" s="30">
        <f t="shared" si="1"/>
        <v>3.8381172839506178E-2</v>
      </c>
      <c r="AD27" s="30">
        <f t="shared" si="1"/>
        <v>3.0279303278688531E-2</v>
      </c>
      <c r="AE27" s="30">
        <f t="shared" ref="AE27" si="2">AE26/AE6</f>
        <v>2.2033177371331352E-2</v>
      </c>
      <c r="AF27" s="30"/>
      <c r="AG27" s="1"/>
    </row>
    <row r="28" spans="1:33" x14ac:dyDescent="0.3">
      <c r="A28" s="6" t="s">
        <v>67</v>
      </c>
      <c r="B28" s="17" t="s">
        <v>29</v>
      </c>
      <c r="C28" s="6" t="s">
        <v>48</v>
      </c>
      <c r="D28" s="29" t="e">
        <f t="shared" ref="D28:AD28" si="3">D26/D7</f>
        <v>#DIV/0!</v>
      </c>
      <c r="E28" s="29" t="e">
        <f t="shared" si="3"/>
        <v>#DIV/0!</v>
      </c>
      <c r="F28" s="29" t="e">
        <f t="shared" si="3"/>
        <v>#DIV/0!</v>
      </c>
      <c r="G28" s="29" t="e">
        <f t="shared" si="3"/>
        <v>#DIV/0!</v>
      </c>
      <c r="H28" s="29" t="e">
        <f t="shared" si="3"/>
        <v>#DIV/0!</v>
      </c>
      <c r="I28" s="29">
        <f t="shared" si="3"/>
        <v>3.6069060489186637</v>
      </c>
      <c r="J28" s="29">
        <f t="shared" si="3"/>
        <v>5.0970444221579854</v>
      </c>
      <c r="K28" s="29">
        <f t="shared" si="3"/>
        <v>9.9289276374818343</v>
      </c>
      <c r="L28" s="29">
        <f t="shared" si="3"/>
        <v>5.0719409007100715</v>
      </c>
      <c r="M28" s="29">
        <f t="shared" si="3"/>
        <v>9.8117818281243547</v>
      </c>
      <c r="N28" s="29">
        <f t="shared" si="3"/>
        <v>-12.891547300487957</v>
      </c>
      <c r="O28" s="29">
        <f t="shared" si="3"/>
        <v>2.0533502515354058</v>
      </c>
      <c r="P28" s="29">
        <f t="shared" si="3"/>
        <v>13.776176444447483</v>
      </c>
      <c r="Q28" s="29">
        <f t="shared" si="3"/>
        <v>7.4058726729783979</v>
      </c>
      <c r="R28" s="29">
        <f t="shared" si="3"/>
        <v>14.69353245267189</v>
      </c>
      <c r="S28" s="29">
        <f t="shared" si="3"/>
        <v>8.1317871060866214</v>
      </c>
      <c r="T28" s="29">
        <f t="shared" si="3"/>
        <v>6.2730618522097732</v>
      </c>
      <c r="U28" s="29">
        <f t="shared" si="3"/>
        <v>6.2092367217655138</v>
      </c>
      <c r="V28" s="29">
        <f t="shared" si="3"/>
        <v>-12.827362472865195</v>
      </c>
      <c r="W28" s="29">
        <f t="shared" si="3"/>
        <v>2.1651697474920266</v>
      </c>
      <c r="X28" s="29">
        <f t="shared" si="3"/>
        <v>1.7228454307448706</v>
      </c>
      <c r="Y28" s="29">
        <f t="shared" si="3"/>
        <v>1.1208080808080807</v>
      </c>
      <c r="Z28" s="29">
        <f t="shared" si="3"/>
        <v>1.0245614035087718</v>
      </c>
      <c r="AA28" s="29">
        <f t="shared" si="3"/>
        <v>1.2514285714285716</v>
      </c>
      <c r="AB28" s="29">
        <f t="shared" si="3"/>
        <v>0.42146341463414638</v>
      </c>
      <c r="AC28" s="29">
        <f t="shared" si="3"/>
        <v>0.4145166666666667</v>
      </c>
      <c r="AD28" s="29">
        <f t="shared" si="3"/>
        <v>0.22388333333333338</v>
      </c>
      <c r="AE28" s="29">
        <f t="shared" ref="AE28" si="4">AE26/AE7</f>
        <v>0.18905109489051097</v>
      </c>
      <c r="AF28" s="29"/>
      <c r="AG28" s="1"/>
    </row>
    <row r="29" spans="1:33" x14ac:dyDescent="0.3">
      <c r="A29" s="15" t="s">
        <v>68</v>
      </c>
      <c r="B29" s="2" t="s">
        <v>30</v>
      </c>
      <c r="C29" s="1" t="s">
        <v>49</v>
      </c>
      <c r="D29" s="3">
        <f t="shared" ref="D29:AD29" si="5">D15-D14</f>
        <v>0</v>
      </c>
      <c r="E29" s="3">
        <f t="shared" si="5"/>
        <v>0</v>
      </c>
      <c r="F29" s="3">
        <f t="shared" si="5"/>
        <v>0</v>
      </c>
      <c r="G29" s="3">
        <f t="shared" si="5"/>
        <v>0</v>
      </c>
      <c r="H29" s="3">
        <f t="shared" si="5"/>
        <v>0</v>
      </c>
      <c r="I29" s="3">
        <f t="shared" si="5"/>
        <v>20.68403</v>
      </c>
      <c r="J29" s="3">
        <f t="shared" si="5"/>
        <v>21.322899999999997</v>
      </c>
      <c r="K29" s="3">
        <f t="shared" si="5"/>
        <v>7.2862819999999999</v>
      </c>
      <c r="L29" s="3">
        <f t="shared" si="5"/>
        <v>10.866776</v>
      </c>
      <c r="M29" s="3">
        <f t="shared" si="5"/>
        <v>11.910723000000001</v>
      </c>
      <c r="N29" s="3">
        <f t="shared" si="5"/>
        <v>17.798611999999999</v>
      </c>
      <c r="O29" s="3">
        <f t="shared" si="5"/>
        <v>-1.7380319999999987</v>
      </c>
      <c r="P29" s="3">
        <f t="shared" si="5"/>
        <v>5.3029220000000006</v>
      </c>
      <c r="Q29" s="3">
        <f t="shared" si="5"/>
        <v>4.2182379999999995</v>
      </c>
      <c r="R29" s="3">
        <f t="shared" si="5"/>
        <v>10.463574000000001</v>
      </c>
      <c r="S29" s="3">
        <f t="shared" si="5"/>
        <v>7.1950700000000012</v>
      </c>
      <c r="T29" s="3">
        <f t="shared" si="5"/>
        <v>54.285895999999994</v>
      </c>
      <c r="U29" s="3">
        <f t="shared" si="5"/>
        <v>80.233905000000007</v>
      </c>
      <c r="V29" s="3">
        <f t="shared" si="5"/>
        <v>69.607454000000004</v>
      </c>
      <c r="W29" s="3">
        <f t="shared" si="5"/>
        <v>61.533622000000001</v>
      </c>
      <c r="X29" s="3">
        <f t="shared" si="5"/>
        <v>59.720650999999997</v>
      </c>
      <c r="Y29" s="3">
        <f t="shared" si="5"/>
        <v>57.828132000000004</v>
      </c>
      <c r="Z29" s="3">
        <f t="shared" si="5"/>
        <v>63.199999999999996</v>
      </c>
      <c r="AA29" s="3">
        <f t="shared" si="5"/>
        <v>65</v>
      </c>
      <c r="AB29" s="3">
        <f t="shared" si="5"/>
        <v>59.1</v>
      </c>
      <c r="AC29" s="3">
        <f t="shared" si="5"/>
        <v>59.199999999999996</v>
      </c>
      <c r="AD29" s="3">
        <f t="shared" si="5"/>
        <v>58.8</v>
      </c>
      <c r="AE29" s="3">
        <f t="shared" ref="AE29" si="6">AE15-AE14</f>
        <v>58.6</v>
      </c>
      <c r="AF29" s="3"/>
      <c r="AG29" s="1"/>
    </row>
    <row r="30" spans="1:33" x14ac:dyDescent="0.3">
      <c r="A30" s="6" t="s">
        <v>69</v>
      </c>
      <c r="B30" s="17" t="s">
        <v>31</v>
      </c>
      <c r="C30" s="6" t="s">
        <v>50</v>
      </c>
      <c r="D30" s="7">
        <f t="shared" ref="D30:AD30" si="7">D26+D29+D16+D17</f>
        <v>0</v>
      </c>
      <c r="E30" s="7">
        <f t="shared" si="7"/>
        <v>0</v>
      </c>
      <c r="F30" s="7">
        <f t="shared" si="7"/>
        <v>0</v>
      </c>
      <c r="G30" s="7">
        <f t="shared" si="7"/>
        <v>0</v>
      </c>
      <c r="H30" s="7">
        <f t="shared" si="7"/>
        <v>0</v>
      </c>
      <c r="I30" s="7">
        <f t="shared" si="7"/>
        <v>24.605764999999998</v>
      </c>
      <c r="J30" s="7">
        <f t="shared" si="7"/>
        <v>25.766444999999997</v>
      </c>
      <c r="K30" s="7">
        <f t="shared" si="7"/>
        <v>23.877143999999998</v>
      </c>
      <c r="L30" s="7">
        <f t="shared" si="7"/>
        <v>23.758017000000002</v>
      </c>
      <c r="M30" s="7">
        <f t="shared" si="7"/>
        <v>19.713268000000003</v>
      </c>
      <c r="N30" s="7">
        <f t="shared" si="7"/>
        <v>26.733486999999997</v>
      </c>
      <c r="O30" s="7">
        <f t="shared" si="7"/>
        <v>23.965461000000005</v>
      </c>
      <c r="P30" s="7">
        <f t="shared" si="7"/>
        <v>25.709286000000002</v>
      </c>
      <c r="Q30" s="7">
        <f t="shared" si="7"/>
        <v>25.407146000000001</v>
      </c>
      <c r="R30" s="7">
        <f t="shared" si="7"/>
        <v>66.458332999999982</v>
      </c>
      <c r="S30" s="7">
        <f t="shared" si="7"/>
        <v>66.158715999999998</v>
      </c>
      <c r="T30" s="7">
        <f t="shared" si="7"/>
        <v>115.22739699999998</v>
      </c>
      <c r="U30" s="7">
        <f t="shared" si="7"/>
        <v>146.501937</v>
      </c>
      <c r="V30" s="7">
        <f t="shared" si="7"/>
        <v>116.949034</v>
      </c>
      <c r="W30" s="7">
        <f t="shared" si="7"/>
        <v>94.271875000000009</v>
      </c>
      <c r="X30" s="7">
        <f t="shared" si="7"/>
        <v>77.566904000000008</v>
      </c>
      <c r="Y30" s="7">
        <f t="shared" si="7"/>
        <v>69.544426999999999</v>
      </c>
      <c r="Z30" s="7">
        <f t="shared" si="7"/>
        <v>69.711265999999995</v>
      </c>
      <c r="AA30" s="7">
        <f t="shared" si="7"/>
        <v>68.704000000000008</v>
      </c>
      <c r="AB30" s="7">
        <f t="shared" si="7"/>
        <v>60.928000000000004</v>
      </c>
      <c r="AC30" s="7">
        <f t="shared" si="7"/>
        <v>60.543549999999996</v>
      </c>
      <c r="AD30" s="7">
        <f t="shared" si="7"/>
        <v>59.738815000000002</v>
      </c>
      <c r="AE30" s="7">
        <f t="shared" ref="AE30" si="8">AE26+AE29+AE16+AE17</f>
        <v>59.318000000000005</v>
      </c>
      <c r="AF30" s="7"/>
      <c r="AG30" s="1"/>
    </row>
    <row r="31" spans="1:33" x14ac:dyDescent="0.3">
      <c r="A31" s="1" t="s">
        <v>70</v>
      </c>
      <c r="B31" s="2" t="s">
        <v>32</v>
      </c>
      <c r="C31" s="1" t="s">
        <v>51</v>
      </c>
      <c r="D31" s="30" t="e">
        <f t="shared" ref="D31:AD31" si="9">D30/D7</f>
        <v>#DIV/0!</v>
      </c>
      <c r="E31" s="30" t="e">
        <f t="shared" si="9"/>
        <v>#DIV/0!</v>
      </c>
      <c r="F31" s="30" t="e">
        <f t="shared" si="9"/>
        <v>#DIV/0!</v>
      </c>
      <c r="G31" s="30" t="e">
        <f t="shared" si="9"/>
        <v>#DIV/0!</v>
      </c>
      <c r="H31" s="30" t="e">
        <f t="shared" si="9"/>
        <v>#DIV/0!</v>
      </c>
      <c r="I31" s="30">
        <f t="shared" si="9"/>
        <v>24.117033319774762</v>
      </c>
      <c r="J31" s="30">
        <f t="shared" si="9"/>
        <v>30.401091381039464</v>
      </c>
      <c r="K31" s="30">
        <f t="shared" si="9"/>
        <v>14.301407671215152</v>
      </c>
      <c r="L31" s="30">
        <f t="shared" si="9"/>
        <v>10.414801913748073</v>
      </c>
      <c r="M31" s="30">
        <f t="shared" si="9"/>
        <v>28.072900542140108</v>
      </c>
      <c r="N31" s="30">
        <f t="shared" si="9"/>
        <v>-42.080099165748464</v>
      </c>
      <c r="O31" s="30">
        <f t="shared" si="9"/>
        <v>1.9715338690910242</v>
      </c>
      <c r="P31" s="30">
        <f t="shared" si="9"/>
        <v>17.576955841030443</v>
      </c>
      <c r="Q31" s="30">
        <f t="shared" si="9"/>
        <v>8.9070811010543149</v>
      </c>
      <c r="R31" s="30">
        <f t="shared" si="9"/>
        <v>17.612186359202365</v>
      </c>
      <c r="S31" s="30">
        <f t="shared" si="9"/>
        <v>9.1866499389373075</v>
      </c>
      <c r="T31" s="30">
        <f t="shared" si="9"/>
        <v>11.926093293902403</v>
      </c>
      <c r="U31" s="30">
        <f t="shared" si="9"/>
        <v>13.748850672281753</v>
      </c>
      <c r="V31" s="30">
        <f t="shared" si="9"/>
        <v>-31.2726214294233</v>
      </c>
      <c r="W31" s="30">
        <f t="shared" si="9"/>
        <v>6.1587898071736751</v>
      </c>
      <c r="X31" s="30">
        <f t="shared" si="9"/>
        <v>7.3225088292288243</v>
      </c>
      <c r="Y31" s="30">
        <f t="shared" si="9"/>
        <v>7.0246895959595959</v>
      </c>
      <c r="Z31" s="30">
        <f t="shared" si="9"/>
        <v>12.230046666666665</v>
      </c>
      <c r="AA31" s="30">
        <f t="shared" si="9"/>
        <v>24.537142857142861</v>
      </c>
      <c r="AB31" s="30">
        <f t="shared" si="9"/>
        <v>14.860487804878051</v>
      </c>
      <c r="AC31" s="30">
        <f t="shared" si="9"/>
        <v>20.181183333333333</v>
      </c>
      <c r="AD31" s="30">
        <f t="shared" si="9"/>
        <v>18.102671212121212</v>
      </c>
      <c r="AE31" s="30">
        <f t="shared" ref="AE31" si="10">AE30/AE7</f>
        <v>21.64890510948905</v>
      </c>
      <c r="AF31" s="30"/>
      <c r="AG31" s="1"/>
    </row>
    <row r="32" spans="1:33" x14ac:dyDescent="0.3">
      <c r="A32" s="18" t="s">
        <v>72</v>
      </c>
      <c r="B32" s="17" t="s">
        <v>33</v>
      </c>
      <c r="C32" s="6" t="s">
        <v>109</v>
      </c>
      <c r="D32" s="27" t="e">
        <f t="shared" ref="D32:AD32" si="11">D7/D6</f>
        <v>#DIV/0!</v>
      </c>
      <c r="E32" s="27" t="e">
        <f t="shared" si="11"/>
        <v>#DIV/0!</v>
      </c>
      <c r="F32" s="27" t="e">
        <f t="shared" si="11"/>
        <v>#DIV/0!</v>
      </c>
      <c r="G32" s="27" t="e">
        <f t="shared" si="11"/>
        <v>#DIV/0!</v>
      </c>
      <c r="H32" s="27" t="e">
        <f t="shared" si="11"/>
        <v>#DIV/0!</v>
      </c>
      <c r="I32" s="27">
        <f t="shared" si="11"/>
        <v>9.8814294327159852E-2</v>
      </c>
      <c r="J32" s="27">
        <f t="shared" si="11"/>
        <v>7.301832630331101E-2</v>
      </c>
      <c r="K32" s="27">
        <f t="shared" si="11"/>
        <v>0.13062239914639936</v>
      </c>
      <c r="L32" s="27">
        <f t="shared" si="11"/>
        <v>9.8944220460189622E-2</v>
      </c>
      <c r="M32" s="27">
        <f t="shared" si="11"/>
        <v>4.338397970108903E-2</v>
      </c>
      <c r="N32" s="27">
        <f t="shared" si="11"/>
        <v>-5.1625961821004429E-2</v>
      </c>
      <c r="O32" s="27">
        <f t="shared" si="11"/>
        <v>0.36720576806739669</v>
      </c>
      <c r="P32" s="27">
        <f t="shared" si="11"/>
        <v>6.3771410533768974E-2</v>
      </c>
      <c r="Q32" s="27">
        <f t="shared" si="11"/>
        <v>0.10272951893812894</v>
      </c>
      <c r="R32" s="27">
        <f t="shared" si="11"/>
        <v>0.11724556805111014</v>
      </c>
      <c r="S32" s="27">
        <f t="shared" si="11"/>
        <v>0.11510579846489694</v>
      </c>
      <c r="T32" s="27">
        <f t="shared" si="11"/>
        <v>9.0123693786543571E-2</v>
      </c>
      <c r="U32" s="27">
        <f t="shared" si="11"/>
        <v>8.9856785063752276E-2</v>
      </c>
      <c r="V32" s="27">
        <f t="shared" si="11"/>
        <v>-3.396240911509938E-2</v>
      </c>
      <c r="W32" s="27">
        <f t="shared" si="11"/>
        <v>0.11754673549401762</v>
      </c>
      <c r="X32" s="27">
        <f t="shared" si="11"/>
        <v>9.3964968905166035E-2</v>
      </c>
      <c r="Y32" s="27">
        <f t="shared" si="11"/>
        <v>8.2500000000000004E-2</v>
      </c>
      <c r="Z32" s="27">
        <f t="shared" si="11"/>
        <v>9.7602739726027399E-2</v>
      </c>
      <c r="AA32" s="27">
        <f t="shared" si="11"/>
        <v>6.2360801781737189E-2</v>
      </c>
      <c r="AB32" s="27">
        <f t="shared" si="11"/>
        <v>9.7619047619047605E-2</v>
      </c>
      <c r="AC32" s="27">
        <f t="shared" si="11"/>
        <v>9.2592592592592601E-2</v>
      </c>
      <c r="AD32" s="27">
        <f t="shared" si="11"/>
        <v>0.13524590163934427</v>
      </c>
      <c r="AE32" s="27">
        <f t="shared" ref="AE32" si="12">AE7/AE6</f>
        <v>0.11654615057422374</v>
      </c>
      <c r="AF32" s="27"/>
      <c r="AG32" s="1"/>
    </row>
    <row r="33" spans="1:33" x14ac:dyDescent="0.3">
      <c r="A33" s="16" t="s">
        <v>73</v>
      </c>
      <c r="B33" s="2" t="s">
        <v>34</v>
      </c>
      <c r="C33" s="1" t="s">
        <v>110</v>
      </c>
      <c r="D33" s="28" t="e">
        <f t="shared" ref="D33:AD33" si="13">D8/D6</f>
        <v>#DIV/0!</v>
      </c>
      <c r="E33" s="28" t="e">
        <f t="shared" si="13"/>
        <v>#DIV/0!</v>
      </c>
      <c r="F33" s="28" t="e">
        <f t="shared" si="13"/>
        <v>#DIV/0!</v>
      </c>
      <c r="G33" s="28" t="e">
        <f t="shared" si="13"/>
        <v>#DIV/0!</v>
      </c>
      <c r="H33" s="28" t="e">
        <f t="shared" si="13"/>
        <v>#DIV/0!</v>
      </c>
      <c r="I33" s="28">
        <f t="shared" si="13"/>
        <v>7.1189797652801562E-2</v>
      </c>
      <c r="J33" s="28">
        <f t="shared" si="13"/>
        <v>4.1310857938411487E-2</v>
      </c>
      <c r="K33" s="28">
        <f t="shared" si="13"/>
        <v>7.6906598936081733E-2</v>
      </c>
      <c r="L33" s="28">
        <f t="shared" si="13"/>
        <v>3.8594386895585163E-2</v>
      </c>
      <c r="M33" s="28">
        <f t="shared" si="13"/>
        <v>-7.3199951316222756E-2</v>
      </c>
      <c r="N33" s="28">
        <f t="shared" si="13"/>
        <v>-0.17974546036088279</v>
      </c>
      <c r="O33" s="28">
        <f t="shared" si="13"/>
        <v>0.34482199660831991</v>
      </c>
      <c r="P33" s="28">
        <f t="shared" si="13"/>
        <v>3.7564080093686204E-2</v>
      </c>
      <c r="Q33" s="28">
        <f t="shared" si="13"/>
        <v>6.0385040948780458E-2</v>
      </c>
      <c r="R33" s="28">
        <f t="shared" si="13"/>
        <v>7.0595525183508229E-2</v>
      </c>
      <c r="S33" s="28">
        <f t="shared" si="13"/>
        <v>7.6092372786268667E-2</v>
      </c>
      <c r="T33" s="28">
        <f t="shared" si="13"/>
        <v>6.276847527099029E-2</v>
      </c>
      <c r="U33" s="28">
        <f t="shared" si="13"/>
        <v>5.4813465560277948E-2</v>
      </c>
      <c r="V33" s="28">
        <f t="shared" si="13"/>
        <v>-7.6633794016626747E-2</v>
      </c>
      <c r="W33" s="28">
        <f t="shared" si="13"/>
        <v>8.2558840051282625E-2</v>
      </c>
      <c r="X33" s="28">
        <f t="shared" si="13"/>
        <v>5.9371022511144358E-2</v>
      </c>
      <c r="Y33" s="28">
        <f t="shared" si="13"/>
        <v>5.4166666666666669E-2</v>
      </c>
      <c r="Z33" s="28">
        <f t="shared" si="13"/>
        <v>4.6232876712328771E-2</v>
      </c>
      <c r="AA33" s="28">
        <f t="shared" si="13"/>
        <v>0</v>
      </c>
      <c r="AB33" s="28">
        <f t="shared" si="13"/>
        <v>2.6190476190476191E-2</v>
      </c>
      <c r="AC33" s="28">
        <f t="shared" si="13"/>
        <v>-6.17283950617284E-3</v>
      </c>
      <c r="AD33" s="28">
        <f t="shared" si="13"/>
        <v>6.5573770491803282E-2</v>
      </c>
      <c r="AE33" s="28">
        <f t="shared" ref="AE33" si="14">AE8/AE6</f>
        <v>5.4019566142067203E-2</v>
      </c>
      <c r="AF33" s="28"/>
      <c r="AG33" s="1"/>
    </row>
    <row r="34" spans="1:33" x14ac:dyDescent="0.3">
      <c r="A34" s="18" t="s">
        <v>74</v>
      </c>
      <c r="B34" s="17" t="s">
        <v>35</v>
      </c>
      <c r="C34" s="6" t="s">
        <v>54</v>
      </c>
      <c r="D34" s="27" t="e">
        <f t="shared" ref="D34:AD34" si="15">D11/D10</f>
        <v>#DIV/0!</v>
      </c>
      <c r="E34" s="27" t="e">
        <f t="shared" si="15"/>
        <v>#DIV/0!</v>
      </c>
      <c r="F34" s="27" t="e">
        <f t="shared" si="15"/>
        <v>#DIV/0!</v>
      </c>
      <c r="G34" s="27" t="e">
        <f t="shared" si="15"/>
        <v>#DIV/0!</v>
      </c>
      <c r="H34" s="27" t="e">
        <f t="shared" si="15"/>
        <v>#DIV/0!</v>
      </c>
      <c r="I34" s="27">
        <f t="shared" si="15"/>
        <v>0.10706392261545969</v>
      </c>
      <c r="J34" s="27">
        <f t="shared" si="15"/>
        <v>1.3917519260505443E-3</v>
      </c>
      <c r="K34" s="27">
        <f t="shared" si="15"/>
        <v>1.2063745019920318E-2</v>
      </c>
      <c r="L34" s="27">
        <f t="shared" si="15"/>
        <v>-1.3962323018897729</v>
      </c>
      <c r="M34" s="27">
        <f t="shared" si="15"/>
        <v>8.8793637746787391E-2</v>
      </c>
      <c r="N34" s="27">
        <f t="shared" si="15"/>
        <v>-0.24388373710255276</v>
      </c>
      <c r="O34" s="27">
        <f t="shared" si="15"/>
        <v>-0.10266437163079507</v>
      </c>
      <c r="P34" s="27">
        <f t="shared" si="15"/>
        <v>0.97630123907227184</v>
      </c>
      <c r="Q34" s="27">
        <f t="shared" si="15"/>
        <v>0.5388742343631242</v>
      </c>
      <c r="R34" s="27">
        <f t="shared" si="15"/>
        <v>0.4719907315430768</v>
      </c>
      <c r="S34" s="27">
        <f t="shared" si="15"/>
        <v>0.44650338593424099</v>
      </c>
      <c r="T34" s="27">
        <f t="shared" si="15"/>
        <v>0.64676635099362789</v>
      </c>
      <c r="U34" s="27">
        <f t="shared" si="15"/>
        <v>0.34885790844013997</v>
      </c>
      <c r="V34" s="27">
        <f t="shared" si="15"/>
        <v>0.1315765932118948</v>
      </c>
      <c r="W34" s="27">
        <f t="shared" si="15"/>
        <v>0.93139626071823034</v>
      </c>
      <c r="X34" s="27">
        <f t="shared" si="15"/>
        <v>0.71658747417296143</v>
      </c>
      <c r="Y34" s="27">
        <f t="shared" si="15"/>
        <v>0.65207952933597491</v>
      </c>
      <c r="Z34" s="27">
        <f t="shared" si="15"/>
        <v>0.61904761904761907</v>
      </c>
      <c r="AA34" s="27">
        <f t="shared" si="15"/>
        <v>-0.63636363636363624</v>
      </c>
      <c r="AB34" s="27">
        <f t="shared" si="15"/>
        <v>0.10344827586206896</v>
      </c>
      <c r="AC34" s="27">
        <f t="shared" si="15"/>
        <v>0.19047619047619047</v>
      </c>
      <c r="AD34" s="27">
        <f t="shared" si="15"/>
        <v>-5.4054054054054057E-2</v>
      </c>
      <c r="AE34" s="27"/>
      <c r="AF34" s="27"/>
      <c r="AG34" s="1"/>
    </row>
    <row r="35" spans="1:33" x14ac:dyDescent="0.3">
      <c r="A35" s="16" t="s">
        <v>75</v>
      </c>
      <c r="B35" s="2" t="s">
        <v>36</v>
      </c>
      <c r="C35" s="1" t="s">
        <v>108</v>
      </c>
      <c r="D35" s="28" t="e">
        <f t="shared" ref="D35:AD35" si="16">D12/D6</f>
        <v>#DIV/0!</v>
      </c>
      <c r="E35" s="28" t="e">
        <f t="shared" si="16"/>
        <v>#DIV/0!</v>
      </c>
      <c r="F35" s="28" t="e">
        <f t="shared" si="16"/>
        <v>#DIV/0!</v>
      </c>
      <c r="G35" s="28" t="e">
        <f t="shared" si="16"/>
        <v>#DIV/0!</v>
      </c>
      <c r="H35" s="28" t="e">
        <f t="shared" si="16"/>
        <v>#DIV/0!</v>
      </c>
      <c r="I35" s="28">
        <f t="shared" si="16"/>
        <v>1.5064781611755845E-2</v>
      </c>
      <c r="J35" s="28">
        <f t="shared" si="16"/>
        <v>0.44260150456262232</v>
      </c>
      <c r="K35" s="28">
        <f t="shared" si="16"/>
        <v>3.4968804035106348E-2</v>
      </c>
      <c r="L35" s="28">
        <f t="shared" si="16"/>
        <v>-2.6316761968410412E-2</v>
      </c>
      <c r="M35" s="28">
        <f t="shared" si="16"/>
        <v>-7.0872026536365484E-2</v>
      </c>
      <c r="N35" s="28">
        <f t="shared" si="16"/>
        <v>-0.24536520268776801</v>
      </c>
      <c r="O35" s="28">
        <f t="shared" si="16"/>
        <v>0.29303217516482766</v>
      </c>
      <c r="P35" s="28">
        <f t="shared" si="16"/>
        <v>0.11594780115573064</v>
      </c>
      <c r="Q35" s="28">
        <f t="shared" si="16"/>
        <v>1.0314454754013262E-2</v>
      </c>
      <c r="R35" s="28">
        <f t="shared" si="16"/>
        <v>1.4034156559696984E-2</v>
      </c>
      <c r="S35" s="28">
        <f t="shared" si="16"/>
        <v>1.0009928845405703E-2</v>
      </c>
      <c r="T35" s="28">
        <f t="shared" si="16"/>
        <v>1.065105856610277E-2</v>
      </c>
      <c r="U35" s="28">
        <f t="shared" si="16"/>
        <v>2.2651200836537812E-3</v>
      </c>
      <c r="V35" s="28">
        <f t="shared" si="16"/>
        <v>-0.12660624928481778</v>
      </c>
      <c r="W35" s="28">
        <f t="shared" si="16"/>
        <v>2.2370680900064546E-3</v>
      </c>
      <c r="X35" s="28">
        <f t="shared" si="16"/>
        <v>4.8232248563094384E-3</v>
      </c>
      <c r="Y35" s="28">
        <f t="shared" si="16"/>
        <v>3.4826749999999997E-3</v>
      </c>
      <c r="Z35" s="28">
        <f t="shared" si="16"/>
        <v>6.8493150684931512E-3</v>
      </c>
      <c r="AA35" s="28">
        <f t="shared" si="16"/>
        <v>6.6815144766146995E-3</v>
      </c>
      <c r="AB35" s="28">
        <f t="shared" si="16"/>
        <v>-6.9047619047619052E-2</v>
      </c>
      <c r="AC35" s="28">
        <f t="shared" si="16"/>
        <v>-4.938271604938272E-2</v>
      </c>
      <c r="AD35" s="28">
        <f t="shared" si="16"/>
        <v>2.0491803278688526E-3</v>
      </c>
      <c r="AE35" s="28">
        <f t="shared" ref="AE35" si="17">AE12/AE6</f>
        <v>-4.5087196937473414E-2</v>
      </c>
      <c r="AF35" s="28"/>
      <c r="AG35" s="1"/>
    </row>
    <row r="36" spans="1:33" x14ac:dyDescent="0.3">
      <c r="A36" s="18" t="s">
        <v>76</v>
      </c>
      <c r="B36" s="17" t="s">
        <v>37</v>
      </c>
      <c r="C36" s="6" t="s">
        <v>56</v>
      </c>
      <c r="D36" s="29" t="e">
        <f t="shared" ref="D36:H36" si="18">D26/D12</f>
        <v>#DIV/0!</v>
      </c>
      <c r="E36" s="29" t="e">
        <f t="shared" si="18"/>
        <v>#DIV/0!</v>
      </c>
      <c r="F36" s="29" t="e">
        <f t="shared" si="18"/>
        <v>#DIV/0!</v>
      </c>
      <c r="G36" s="29" t="e">
        <f t="shared" si="18"/>
        <v>#DIV/0!</v>
      </c>
      <c r="H36" s="29" t="e">
        <f t="shared" si="18"/>
        <v>#DIV/0!</v>
      </c>
      <c r="I36" s="29">
        <f t="shared" ref="I36:AD36" si="19">IF(I26/I12&lt;0,0,I26/I12)</f>
        <v>23.658748272204189</v>
      </c>
      <c r="J36" s="29">
        <f t="shared" si="19"/>
        <v>0.84088655136269375</v>
      </c>
      <c r="K36" s="29">
        <f t="shared" si="19"/>
        <v>37.08849601081085</v>
      </c>
      <c r="L36" s="29">
        <f t="shared" si="19"/>
        <v>0</v>
      </c>
      <c r="M36" s="29">
        <f t="shared" si="19"/>
        <v>0</v>
      </c>
      <c r="N36" s="29">
        <f t="shared" si="19"/>
        <v>0</v>
      </c>
      <c r="O36" s="29">
        <f t="shared" si="19"/>
        <v>2.5731032976236219</v>
      </c>
      <c r="P36" s="29">
        <f t="shared" si="19"/>
        <v>7.5769112899738484</v>
      </c>
      <c r="Q36" s="29">
        <f t="shared" si="19"/>
        <v>73.760732404791909</v>
      </c>
      <c r="R36" s="29">
        <f t="shared" si="19"/>
        <v>122.75419272707144</v>
      </c>
      <c r="S36" s="29">
        <f t="shared" si="19"/>
        <v>93.508741395525604</v>
      </c>
      <c r="T36" s="29">
        <f t="shared" si="19"/>
        <v>53.079372530336578</v>
      </c>
      <c r="U36" s="29">
        <f t="shared" si="19"/>
        <v>246.31897158301911</v>
      </c>
      <c r="V36" s="29">
        <f t="shared" si="19"/>
        <v>0</v>
      </c>
      <c r="W36" s="29">
        <f t="shared" si="19"/>
        <v>113.76883732106688</v>
      </c>
      <c r="X36" s="29">
        <f t="shared" si="19"/>
        <v>33.564082569482252</v>
      </c>
      <c r="Y36" s="29">
        <f t="shared" si="19"/>
        <v>26.550472457713301</v>
      </c>
      <c r="Z36" s="29">
        <f t="shared" si="19"/>
        <v>14.6</v>
      </c>
      <c r="AA36" s="29">
        <f t="shared" si="19"/>
        <v>11.68</v>
      </c>
      <c r="AB36" s="29">
        <f t="shared" si="19"/>
        <v>0</v>
      </c>
      <c r="AC36" s="29">
        <f t="shared" si="19"/>
        <v>0</v>
      </c>
      <c r="AD36" s="29">
        <f t="shared" si="19"/>
        <v>14.776300000000001</v>
      </c>
      <c r="AE36" s="29">
        <f t="shared" ref="AE36" si="20">IF(AE26/AE12&lt;0,0,AE26/AE12)</f>
        <v>0</v>
      </c>
      <c r="AF36" s="29"/>
      <c r="AG36" s="1"/>
    </row>
    <row r="37" spans="1:33" x14ac:dyDescent="0.3">
      <c r="A37" s="16" t="s">
        <v>77</v>
      </c>
      <c r="B37" s="2" t="s">
        <v>38</v>
      </c>
      <c r="C37" s="1" t="s">
        <v>57</v>
      </c>
      <c r="D37" s="30" t="e">
        <f t="shared" ref="D37:AD37" si="21">D26/D23</f>
        <v>#DIV/0!</v>
      </c>
      <c r="E37" s="30" t="e">
        <f t="shared" si="21"/>
        <v>#DIV/0!</v>
      </c>
      <c r="F37" s="30" t="e">
        <f t="shared" si="21"/>
        <v>#DIV/0!</v>
      </c>
      <c r="G37" s="30" t="e">
        <f t="shared" si="21"/>
        <v>#DIV/0!</v>
      </c>
      <c r="H37" s="30" t="e">
        <f t="shared" si="21"/>
        <v>#DIV/0!</v>
      </c>
      <c r="I37" s="30">
        <f t="shared" si="21"/>
        <v>0.38578083141010761</v>
      </c>
      <c r="J37" s="30">
        <f t="shared" si="21"/>
        <v>0.33853875857367038</v>
      </c>
      <c r="K37" s="30">
        <f t="shared" si="21"/>
        <v>0.43120484048178193</v>
      </c>
      <c r="L37" s="30">
        <f t="shared" si="21"/>
        <v>0.34553293557524978</v>
      </c>
      <c r="M37" s="30">
        <f t="shared" si="21"/>
        <v>0.24631446177269267</v>
      </c>
      <c r="N37" s="30">
        <f t="shared" si="21"/>
        <v>0.3166673387953487</v>
      </c>
      <c r="O37" s="30">
        <f t="shared" si="21"/>
        <v>8.2809635378824229</v>
      </c>
      <c r="P37" s="30">
        <f t="shared" si="21"/>
        <v>6.4024758358170075</v>
      </c>
      <c r="Q37" s="30">
        <f t="shared" si="21"/>
        <v>21.733606173681608</v>
      </c>
      <c r="R37" s="30">
        <f t="shared" si="21"/>
        <v>24.200355989004322</v>
      </c>
      <c r="S37" s="30">
        <f t="shared" si="21"/>
        <v>2.9096619089323821</v>
      </c>
      <c r="T37" s="30">
        <f t="shared" si="21"/>
        <v>2.9510983588924939</v>
      </c>
      <c r="U37" s="30">
        <f t="shared" si="21"/>
        <v>2.2637360050593713</v>
      </c>
      <c r="V37" s="30">
        <f t="shared" si="21"/>
        <v>1.3812631949939358</v>
      </c>
      <c r="W37" s="30">
        <f t="shared" si="21"/>
        <v>0.96708008839524018</v>
      </c>
      <c r="X37" s="30">
        <f t="shared" si="21"/>
        <v>0.52209634757415735</v>
      </c>
      <c r="Y37" s="30">
        <f t="shared" si="21"/>
        <v>0.31612535612535614</v>
      </c>
      <c r="Z37" s="30">
        <f t="shared" si="21"/>
        <v>0.16590909090909089</v>
      </c>
      <c r="AA37" s="30">
        <f t="shared" si="21"/>
        <v>0.10881987577639751</v>
      </c>
      <c r="AB37" s="30">
        <f t="shared" si="21"/>
        <v>5.61038961038961E-2</v>
      </c>
      <c r="AC37" s="30">
        <f t="shared" si="21"/>
        <v>4.675E-2</v>
      </c>
      <c r="AD37" s="30">
        <f t="shared" si="21"/>
        <v>4.828856209150327E-2</v>
      </c>
      <c r="AE37" s="30">
        <f t="shared" ref="AE37" si="22">AE26/AE23</f>
        <v>3.4533333333333339E-2</v>
      </c>
      <c r="AF37" s="30"/>
      <c r="AG37" s="1"/>
    </row>
    <row r="38" spans="1:33" x14ac:dyDescent="0.3">
      <c r="A38" s="18" t="s">
        <v>78</v>
      </c>
      <c r="B38" s="17" t="s">
        <v>39</v>
      </c>
      <c r="C38" s="6" t="s">
        <v>106</v>
      </c>
      <c r="D38" s="55" t="e">
        <f t="shared" ref="D38:AD38" si="23">D8/D23</f>
        <v>#DIV/0!</v>
      </c>
      <c r="E38" s="55" t="e">
        <f t="shared" si="23"/>
        <v>#DIV/0!</v>
      </c>
      <c r="F38" s="55" t="e">
        <f t="shared" si="23"/>
        <v>#DIV/0!</v>
      </c>
      <c r="G38" s="55" t="e">
        <f t="shared" si="23"/>
        <v>#DIV/0!</v>
      </c>
      <c r="H38" s="55" t="e">
        <f t="shared" si="23"/>
        <v>#DIV/0!</v>
      </c>
      <c r="I38" s="55">
        <f t="shared" si="23"/>
        <v>7.7055527804262364E-2</v>
      </c>
      <c r="J38" s="55">
        <f t="shared" si="23"/>
        <v>3.7577018547143674E-2</v>
      </c>
      <c r="K38" s="55">
        <f t="shared" si="23"/>
        <v>2.5569794133439544E-2</v>
      </c>
      <c r="L38" s="55">
        <f t="shared" si="23"/>
        <v>2.6573513535677856E-2</v>
      </c>
      <c r="M38" s="55">
        <f t="shared" si="23"/>
        <v>-4.2356828289112254E-2</v>
      </c>
      <c r="N38" s="55">
        <f t="shared" si="23"/>
        <v>-8.5523999189115088E-2</v>
      </c>
      <c r="O38" s="55">
        <f t="shared" si="23"/>
        <v>3.7870697531834931</v>
      </c>
      <c r="P38" s="55">
        <f t="shared" si="23"/>
        <v>0.27375747485082075</v>
      </c>
      <c r="Q38" s="55">
        <f t="shared" si="23"/>
        <v>1.7250022376612275</v>
      </c>
      <c r="R38" s="55">
        <f t="shared" si="23"/>
        <v>0.99169078191003213</v>
      </c>
      <c r="S38" s="55">
        <f t="shared" si="23"/>
        <v>0.23653774578561843</v>
      </c>
      <c r="T38" s="55">
        <f t="shared" si="23"/>
        <v>0.32764738851726749</v>
      </c>
      <c r="U38" s="55">
        <f t="shared" si="23"/>
        <v>0.22239445056732482</v>
      </c>
      <c r="V38" s="55">
        <f t="shared" si="23"/>
        <v>-0.2429746195407422</v>
      </c>
      <c r="W38" s="55">
        <f t="shared" si="23"/>
        <v>0.31370648836272225</v>
      </c>
      <c r="X38" s="55">
        <f t="shared" si="23"/>
        <v>0.1914753595985082</v>
      </c>
      <c r="Y38" s="55">
        <f t="shared" si="23"/>
        <v>0.18518518518518517</v>
      </c>
      <c r="Z38" s="55">
        <f t="shared" si="23"/>
        <v>7.6704545454545456E-2</v>
      </c>
      <c r="AA38" s="55">
        <f t="shared" si="23"/>
        <v>0</v>
      </c>
      <c r="AB38" s="55">
        <f t="shared" si="23"/>
        <v>3.5714285714285719E-2</v>
      </c>
      <c r="AC38" s="55">
        <f t="shared" si="23"/>
        <v>-7.5187969924812026E-3</v>
      </c>
      <c r="AD38" s="55">
        <f t="shared" si="23"/>
        <v>0.10457516339869281</v>
      </c>
      <c r="AE38" s="55">
        <f t="shared" ref="AE38" si="24">AE8/AE23</f>
        <v>8.4666666666666668E-2</v>
      </c>
      <c r="AF38" s="55"/>
      <c r="AG38" s="1"/>
    </row>
    <row r="39" spans="1:33" x14ac:dyDescent="0.3">
      <c r="A39" s="16" t="s">
        <v>79</v>
      </c>
      <c r="B39" s="2" t="s">
        <v>40</v>
      </c>
      <c r="C39" s="1" t="s">
        <v>107</v>
      </c>
      <c r="D39" s="56" t="e">
        <f t="shared" ref="D39:AD39" si="25">D12/D23</f>
        <v>#DIV/0!</v>
      </c>
      <c r="E39" s="56" t="e">
        <f t="shared" si="25"/>
        <v>#DIV/0!</v>
      </c>
      <c r="F39" s="56" t="e">
        <f t="shared" si="25"/>
        <v>#DIV/0!</v>
      </c>
      <c r="G39" s="56" t="e">
        <f t="shared" si="25"/>
        <v>#DIV/0!</v>
      </c>
      <c r="H39" s="56" t="e">
        <f t="shared" si="25"/>
        <v>#DIV/0!</v>
      </c>
      <c r="I39" s="56">
        <f t="shared" si="25"/>
        <v>1.630605419067532E-2</v>
      </c>
      <c r="J39" s="56">
        <f t="shared" si="25"/>
        <v>0.4025974229520658</v>
      </c>
      <c r="K39" s="56">
        <f t="shared" si="25"/>
        <v>1.1626377094290662E-2</v>
      </c>
      <c r="L39" s="56">
        <f t="shared" si="25"/>
        <v>-1.8119962166383397E-2</v>
      </c>
      <c r="M39" s="56">
        <f t="shared" si="25"/>
        <v>-4.1009784904555646E-2</v>
      </c>
      <c r="N39" s="56">
        <f t="shared" si="25"/>
        <v>-0.11674627750583524</v>
      </c>
      <c r="O39" s="56">
        <f t="shared" si="25"/>
        <v>3.2182787008707616</v>
      </c>
      <c r="P39" s="56">
        <f t="shared" si="25"/>
        <v>0.84499812532965601</v>
      </c>
      <c r="Q39" s="56">
        <f t="shared" si="25"/>
        <v>0.29465008636857937</v>
      </c>
      <c r="R39" s="56">
        <f t="shared" si="25"/>
        <v>0.19714484248053976</v>
      </c>
      <c r="S39" s="56">
        <f t="shared" si="25"/>
        <v>3.1116469599617662E-2</v>
      </c>
      <c r="T39" s="56">
        <f t="shared" si="25"/>
        <v>5.559783807176405E-2</v>
      </c>
      <c r="U39" s="56">
        <f t="shared" si="25"/>
        <v>9.1902624897749873E-3</v>
      </c>
      <c r="V39" s="56">
        <f t="shared" si="25"/>
        <v>-0.40141696814312383</v>
      </c>
      <c r="W39" s="56">
        <f t="shared" si="25"/>
        <v>8.5003952854510127E-3</v>
      </c>
      <c r="X39" s="56">
        <f t="shared" si="25"/>
        <v>1.5555209843538739E-2</v>
      </c>
      <c r="Y39" s="56">
        <f t="shared" si="25"/>
        <v>1.1906581196581195E-2</v>
      </c>
      <c r="Z39" s="56">
        <f t="shared" si="25"/>
        <v>1.1363636363636364E-2</v>
      </c>
      <c r="AA39" s="56">
        <f t="shared" si="25"/>
        <v>9.3167701863354022E-3</v>
      </c>
      <c r="AB39" s="56">
        <f t="shared" si="25"/>
        <v>-9.4155844155844146E-2</v>
      </c>
      <c r="AC39" s="56">
        <f t="shared" si="25"/>
        <v>-6.0150375939849621E-2</v>
      </c>
      <c r="AD39" s="56">
        <f t="shared" si="25"/>
        <v>3.2679738562091504E-3</v>
      </c>
      <c r="AE39" s="56">
        <f t="shared" ref="AE39" si="26">AE12/AE23</f>
        <v>-7.0666666666666669E-2</v>
      </c>
      <c r="AF39" s="56"/>
      <c r="AG39" s="1"/>
    </row>
    <row r="40" spans="1:33" x14ac:dyDescent="0.3">
      <c r="A40" s="18" t="s">
        <v>80</v>
      </c>
      <c r="B40" s="17" t="s">
        <v>41</v>
      </c>
      <c r="C40" s="6" t="s">
        <v>61</v>
      </c>
      <c r="D40" s="7">
        <f t="shared" ref="D40:AD40" si="27">D20-D19</f>
        <v>0</v>
      </c>
      <c r="E40" s="7">
        <f t="shared" si="27"/>
        <v>0</v>
      </c>
      <c r="F40" s="7">
        <f t="shared" si="27"/>
        <v>0</v>
      </c>
      <c r="G40" s="7">
        <f t="shared" si="27"/>
        <v>0</v>
      </c>
      <c r="H40" s="7">
        <f t="shared" si="27"/>
        <v>0</v>
      </c>
      <c r="I40" s="7">
        <f t="shared" si="27"/>
        <v>0.78998999999999953</v>
      </c>
      <c r="J40" s="7">
        <f t="shared" si="27"/>
        <v>-4.4590199999999989</v>
      </c>
      <c r="K40" s="7">
        <f t="shared" si="27"/>
        <v>10.523389000000002</v>
      </c>
      <c r="L40" s="7">
        <f t="shared" si="27"/>
        <v>3.4188200000000002</v>
      </c>
      <c r="M40" s="7">
        <f t="shared" si="27"/>
        <v>2.4891039999999993</v>
      </c>
      <c r="N40" s="7">
        <f t="shared" si="27"/>
        <v>-2.1427090000000018</v>
      </c>
      <c r="O40" s="7">
        <f t="shared" si="27"/>
        <v>1.1281429999999979</v>
      </c>
      <c r="P40" s="7">
        <f t="shared" si="27"/>
        <v>-1.1791340000000012</v>
      </c>
      <c r="Q40" s="7">
        <f t="shared" si="27"/>
        <v>-3.4404489999999992</v>
      </c>
      <c r="R40" s="7">
        <f t="shared" si="27"/>
        <v>-1.8774940000000004</v>
      </c>
      <c r="S40" s="7">
        <f t="shared" si="27"/>
        <v>-19.182621000000005</v>
      </c>
      <c r="T40" s="7">
        <f t="shared" si="27"/>
        <v>-33.228641999999994</v>
      </c>
      <c r="U40" s="7">
        <f t="shared" si="27"/>
        <v>-38.283612000000005</v>
      </c>
      <c r="V40" s="7">
        <f t="shared" si="27"/>
        <v>-5.5690220000000039</v>
      </c>
      <c r="W40" s="7">
        <f t="shared" si="27"/>
        <v>6.0252780000000001</v>
      </c>
      <c r="X40" s="7">
        <f t="shared" si="27"/>
        <v>22.419151999999997</v>
      </c>
      <c r="Y40" s="7">
        <f t="shared" si="27"/>
        <v>27.799999999999997</v>
      </c>
      <c r="Z40" s="7">
        <f t="shared" si="27"/>
        <v>57.599999999999994</v>
      </c>
      <c r="AA40" s="7">
        <f t="shared" si="27"/>
        <v>55.021984000000003</v>
      </c>
      <c r="AB40" s="7">
        <f t="shared" si="27"/>
        <v>35.867016000000007</v>
      </c>
      <c r="AC40" s="7">
        <f t="shared" si="27"/>
        <v>17.100000000000009</v>
      </c>
      <c r="AD40" s="7">
        <f t="shared" si="27"/>
        <v>-16.299999999999997</v>
      </c>
      <c r="AE40" s="7">
        <f t="shared" ref="AE40" si="28">AE20-AE19</f>
        <v>-33.1</v>
      </c>
      <c r="AF40" s="7"/>
      <c r="AG40" s="1"/>
    </row>
    <row r="41" spans="1:33" x14ac:dyDescent="0.3">
      <c r="A41" s="53" t="s">
        <v>96</v>
      </c>
      <c r="B41" s="49" t="s">
        <v>42</v>
      </c>
      <c r="C41" s="52" t="s">
        <v>98</v>
      </c>
      <c r="D41" s="29" t="e">
        <f>D20/D19</f>
        <v>#DIV/0!</v>
      </c>
      <c r="E41" s="29" t="e">
        <f t="shared" ref="E41:AD41" si="29">E20/E19</f>
        <v>#DIV/0!</v>
      </c>
      <c r="F41" s="29" t="e">
        <f t="shared" si="29"/>
        <v>#DIV/0!</v>
      </c>
      <c r="G41" s="29" t="e">
        <f t="shared" si="29"/>
        <v>#DIV/0!</v>
      </c>
      <c r="H41" s="29" t="e">
        <f t="shared" si="29"/>
        <v>#DIV/0!</v>
      </c>
      <c r="I41" s="29">
        <f t="shared" si="29"/>
        <v>1.1182958001464489</v>
      </c>
      <c r="J41" s="29">
        <f t="shared" si="29"/>
        <v>0.66092752900239082</v>
      </c>
      <c r="K41" s="29">
        <f t="shared" si="29"/>
        <v>2.6283648095565995</v>
      </c>
      <c r="L41" s="29">
        <f t="shared" si="29"/>
        <v>1.2407922065143813</v>
      </c>
      <c r="M41" s="29">
        <f t="shared" si="29"/>
        <v>1.1563727166705071</v>
      </c>
      <c r="N41" s="29">
        <f t="shared" si="29"/>
        <v>0.85067973987568002</v>
      </c>
      <c r="O41" s="29">
        <f t="shared" si="29"/>
        <v>1.0696045482040477</v>
      </c>
      <c r="P41" s="29">
        <f t="shared" si="29"/>
        <v>0.91810461013091282</v>
      </c>
      <c r="Q41" s="29">
        <f t="shared" si="29"/>
        <v>0.80581761112781769</v>
      </c>
      <c r="R41" s="29">
        <f t="shared" si="29"/>
        <v>0.87833591512582632</v>
      </c>
      <c r="S41" s="29">
        <f t="shared" si="29"/>
        <v>0.7612873089125205</v>
      </c>
      <c r="T41" s="29">
        <f t="shared" si="29"/>
        <v>0.63968907941340858</v>
      </c>
      <c r="U41" s="29">
        <f t="shared" si="29"/>
        <v>0.66654358919328627</v>
      </c>
      <c r="V41" s="29">
        <f t="shared" si="29"/>
        <v>0.93224544697346323</v>
      </c>
      <c r="W41" s="29">
        <f t="shared" si="29"/>
        <v>1.073726118260121</v>
      </c>
      <c r="X41" s="29">
        <f t="shared" si="29"/>
        <v>1.3251094403707953</v>
      </c>
      <c r="Y41" s="29">
        <f t="shared" si="29"/>
        <v>1.3746630727762803</v>
      </c>
      <c r="Z41" s="29">
        <f t="shared" si="29"/>
        <v>1.8170212765957445</v>
      </c>
      <c r="AA41" s="29">
        <f t="shared" si="29"/>
        <v>2.2233083824773421</v>
      </c>
      <c r="AB41" s="29">
        <f t="shared" si="29"/>
        <v>1.7467163813932527</v>
      </c>
      <c r="AC41" s="29">
        <f t="shared" si="29"/>
        <v>1.3468559837728196</v>
      </c>
      <c r="AD41" s="29">
        <f t="shared" si="29"/>
        <v>0.80890973036342328</v>
      </c>
      <c r="AE41" s="29">
        <f t="shared" ref="AE41" si="30">AE20/AE19</f>
        <v>0.60120481927710845</v>
      </c>
      <c r="AF41" s="29"/>
      <c r="AG41" s="1"/>
    </row>
    <row r="42" spans="1:33" x14ac:dyDescent="0.3">
      <c r="A42" s="16" t="s">
        <v>81</v>
      </c>
      <c r="B42" s="17" t="s">
        <v>43</v>
      </c>
      <c r="C42" s="1" t="s">
        <v>60</v>
      </c>
      <c r="D42" s="30" t="e">
        <f t="shared" ref="D42:AD42" si="31">(D20-D21)/D19</f>
        <v>#DIV/0!</v>
      </c>
      <c r="E42" s="30" t="e">
        <f t="shared" si="31"/>
        <v>#DIV/0!</v>
      </c>
      <c r="F42" s="30" t="e">
        <f t="shared" si="31"/>
        <v>#DIV/0!</v>
      </c>
      <c r="G42" s="30" t="e">
        <f t="shared" si="31"/>
        <v>#DIV/0!</v>
      </c>
      <c r="H42" s="30" t="e">
        <f t="shared" si="31"/>
        <v>#DIV/0!</v>
      </c>
      <c r="I42" s="30">
        <f t="shared" si="31"/>
        <v>1.0984008900748568</v>
      </c>
      <c r="J42" s="30">
        <f t="shared" si="31"/>
        <v>0.65344652427562466</v>
      </c>
      <c r="K42" s="30">
        <f t="shared" si="31"/>
        <v>2.6058599159774394</v>
      </c>
      <c r="L42" s="30">
        <f t="shared" si="31"/>
        <v>1.085061666545877</v>
      </c>
      <c r="M42" s="30">
        <f t="shared" si="31"/>
        <v>1.0084935296188586</v>
      </c>
      <c r="N42" s="30">
        <f t="shared" si="31"/>
        <v>0.73603923802456805</v>
      </c>
      <c r="O42" s="30">
        <f t="shared" si="31"/>
        <v>0.97996290942708641</v>
      </c>
      <c r="P42" s="30">
        <f t="shared" si="31"/>
        <v>0.81824067715831805</v>
      </c>
      <c r="Q42" s="30">
        <f t="shared" si="31"/>
        <v>0.73484683266642647</v>
      </c>
      <c r="R42" s="30">
        <f t="shared" si="31"/>
        <v>0.81210229406384293</v>
      </c>
      <c r="S42" s="30">
        <f t="shared" si="31"/>
        <v>0.74587612972020645</v>
      </c>
      <c r="T42" s="30">
        <f t="shared" si="31"/>
        <v>0.62569079132347993</v>
      </c>
      <c r="U42" s="30">
        <f t="shared" si="31"/>
        <v>0.66071957511487944</v>
      </c>
      <c r="V42" s="30">
        <f t="shared" si="31"/>
        <v>0.92126354673572952</v>
      </c>
      <c r="W42" s="30">
        <f t="shared" si="31"/>
        <v>1.0503328663249056</v>
      </c>
      <c r="X42" s="30">
        <f t="shared" si="31"/>
        <v>1.3208254756808722</v>
      </c>
      <c r="Y42" s="30">
        <f t="shared" si="31"/>
        <v>1.3698748652291106</v>
      </c>
      <c r="Z42" s="30">
        <f t="shared" si="31"/>
        <v>1.8125452624113476</v>
      </c>
      <c r="AA42" s="30">
        <f t="shared" si="31"/>
        <v>2.2121918405649552</v>
      </c>
      <c r="AB42" s="30">
        <f t="shared" si="31"/>
        <v>1.7383887705165268</v>
      </c>
      <c r="AC42" s="30">
        <f t="shared" si="31"/>
        <v>1.3427991886409738</v>
      </c>
      <c r="AD42" s="30">
        <f t="shared" si="31"/>
        <v>0.80656506447831189</v>
      </c>
      <c r="AE42" s="30">
        <f t="shared" ref="AE42" si="32">(AE20-AE21)/AE19</f>
        <v>0.59879518072289151</v>
      </c>
      <c r="AF42" s="30"/>
      <c r="AG42" s="1"/>
    </row>
    <row r="43" spans="1:33" x14ac:dyDescent="0.3">
      <c r="A43" s="18" t="s">
        <v>82</v>
      </c>
      <c r="B43" s="49" t="s">
        <v>44</v>
      </c>
      <c r="C43" s="6" t="s">
        <v>62</v>
      </c>
      <c r="D43" s="29" t="e">
        <f t="shared" ref="D43:AD43" si="33">D14/D19</f>
        <v>#DIV/0!</v>
      </c>
      <c r="E43" s="29" t="e">
        <f t="shared" si="33"/>
        <v>#DIV/0!</v>
      </c>
      <c r="F43" s="29" t="e">
        <f t="shared" si="33"/>
        <v>#DIV/0!</v>
      </c>
      <c r="G43" s="29" t="e">
        <f t="shared" si="33"/>
        <v>#DIV/0!</v>
      </c>
      <c r="H43" s="29" t="e">
        <f t="shared" si="33"/>
        <v>#DIV/0!</v>
      </c>
      <c r="I43" s="29">
        <f t="shared" si="33"/>
        <v>-0.24813082782651927</v>
      </c>
      <c r="J43" s="29">
        <f t="shared" si="33"/>
        <v>-0.12600451384875566</v>
      </c>
      <c r="K43" s="29">
        <f t="shared" si="33"/>
        <v>0.18778624536754068</v>
      </c>
      <c r="L43" s="29">
        <f t="shared" si="33"/>
        <v>0.13335808291984833</v>
      </c>
      <c r="M43" s="29">
        <f t="shared" si="33"/>
        <v>0.32588182611577859</v>
      </c>
      <c r="N43" s="29">
        <f t="shared" si="33"/>
        <v>0.25533873263611351</v>
      </c>
      <c r="O43" s="29">
        <f t="shared" si="33"/>
        <v>0.59849541198818446</v>
      </c>
      <c r="P43" s="29">
        <f t="shared" si="33"/>
        <v>0.18470520767012144</v>
      </c>
      <c r="Q43" s="29">
        <f t="shared" si="33"/>
        <v>4.807051919400443E-2</v>
      </c>
      <c r="R43" s="29">
        <f t="shared" si="33"/>
        <v>-0.14316982772893741</v>
      </c>
      <c r="S43" s="29">
        <f t="shared" si="33"/>
        <v>0.23831885651984988</v>
      </c>
      <c r="T43" s="29">
        <f t="shared" si="33"/>
        <v>-2.5801116248296747E-2</v>
      </c>
      <c r="U43" s="29">
        <f t="shared" si="33"/>
        <v>3.00774215694673E-2</v>
      </c>
      <c r="V43" s="29">
        <f t="shared" si="33"/>
        <v>4.8084227202638712E-2</v>
      </c>
      <c r="W43" s="29">
        <f t="shared" si="33"/>
        <v>4.3911379103144861E-2</v>
      </c>
      <c r="X43" s="29">
        <f t="shared" si="33"/>
        <v>5.1170246111499784E-2</v>
      </c>
      <c r="Y43" s="29">
        <f t="shared" si="33"/>
        <v>5.5605094339622643E-2</v>
      </c>
      <c r="Z43" s="29">
        <f t="shared" si="33"/>
        <v>7.6595744680851063E-2</v>
      </c>
      <c r="AA43" s="29">
        <f t="shared" si="33"/>
        <v>4.2242859267069499E-2</v>
      </c>
      <c r="AB43" s="29">
        <f t="shared" si="33"/>
        <v>6.453898429462554E-2</v>
      </c>
      <c r="AC43" s="29">
        <f t="shared" si="33"/>
        <v>2.434077079107505E-2</v>
      </c>
      <c r="AD43" s="29">
        <f t="shared" si="33"/>
        <v>1.4067995310668231E-2</v>
      </c>
      <c r="AE43" s="29">
        <f t="shared" ref="AE43" si="34">AE14/AE19</f>
        <v>1.3253012048192772E-2</v>
      </c>
      <c r="AF43" s="29"/>
      <c r="AG43" s="1"/>
    </row>
    <row r="44" spans="1:33" x14ac:dyDescent="0.3">
      <c r="A44" s="16" t="s">
        <v>83</v>
      </c>
      <c r="B44" s="17" t="s">
        <v>45</v>
      </c>
      <c r="C44" s="1" t="s">
        <v>63</v>
      </c>
      <c r="D44" s="30" t="e">
        <f t="shared" ref="D44:AD44" si="35">D29/D7</f>
        <v>#DIV/0!</v>
      </c>
      <c r="E44" s="30" t="e">
        <f t="shared" si="35"/>
        <v>#DIV/0!</v>
      </c>
      <c r="F44" s="30" t="e">
        <f t="shared" si="35"/>
        <v>#DIV/0!</v>
      </c>
      <c r="G44" s="30" t="e">
        <f t="shared" si="35"/>
        <v>#DIV/0!</v>
      </c>
      <c r="H44" s="30" t="e">
        <f t="shared" si="35"/>
        <v>#DIV/0!</v>
      </c>
      <c r="I44" s="30">
        <f t="shared" si="35"/>
        <v>20.273193729080191</v>
      </c>
      <c r="J44" s="30">
        <f t="shared" si="35"/>
        <v>25.158279747507517</v>
      </c>
      <c r="K44" s="30">
        <f t="shared" si="35"/>
        <v>4.3641772772085679</v>
      </c>
      <c r="L44" s="30">
        <f t="shared" si="35"/>
        <v>4.7636685957869132</v>
      </c>
      <c r="M44" s="30">
        <f t="shared" si="35"/>
        <v>16.961598765054106</v>
      </c>
      <c r="N44" s="30">
        <f t="shared" si="35"/>
        <v>-28.016074295608373</v>
      </c>
      <c r="O44" s="30">
        <f t="shared" si="35"/>
        <v>-0.1429803062650874</v>
      </c>
      <c r="P44" s="30">
        <f t="shared" si="35"/>
        <v>3.6255081460616543</v>
      </c>
      <c r="Q44" s="30">
        <f t="shared" si="35"/>
        <v>1.4788039541926177</v>
      </c>
      <c r="R44" s="30">
        <f t="shared" si="35"/>
        <v>2.7729617483981217</v>
      </c>
      <c r="S44" s="30">
        <f t="shared" si="35"/>
        <v>0.99909117607647746</v>
      </c>
      <c r="T44" s="30">
        <f t="shared" si="35"/>
        <v>5.618617421680395</v>
      </c>
      <c r="U44" s="30">
        <f t="shared" si="35"/>
        <v>7.5297569526267791</v>
      </c>
      <c r="V44" s="30">
        <f t="shared" si="35"/>
        <v>-18.613300881202633</v>
      </c>
      <c r="W44" s="30">
        <f t="shared" si="35"/>
        <v>4.0199968863680473</v>
      </c>
      <c r="X44" s="30">
        <f t="shared" si="35"/>
        <v>5.6377781203539223</v>
      </c>
      <c r="Y44" s="30">
        <f t="shared" si="35"/>
        <v>5.8412254545454543</v>
      </c>
      <c r="Z44" s="30">
        <f t="shared" si="35"/>
        <v>11.087719298245613</v>
      </c>
      <c r="AA44" s="30">
        <f t="shared" si="35"/>
        <v>23.214285714285715</v>
      </c>
      <c r="AB44" s="30">
        <f t="shared" si="35"/>
        <v>14.414634146341465</v>
      </c>
      <c r="AC44" s="30">
        <f t="shared" si="35"/>
        <v>19.733333333333331</v>
      </c>
      <c r="AD44" s="30">
        <f t="shared" si="35"/>
        <v>17.818181818181817</v>
      </c>
      <c r="AE44" s="30">
        <f t="shared" ref="AE44" si="36">AE29/AE7</f>
        <v>21.386861313868611</v>
      </c>
      <c r="AF44" s="30"/>
      <c r="AG44" s="1"/>
    </row>
    <row r="45" spans="1:33" x14ac:dyDescent="0.3">
      <c r="A45" s="18" t="s">
        <v>84</v>
      </c>
      <c r="B45" s="54" t="s">
        <v>99</v>
      </c>
      <c r="C45" s="6" t="s">
        <v>64</v>
      </c>
      <c r="D45" s="29" t="e">
        <f t="shared" ref="D45:AD45" si="37">D18/D23</f>
        <v>#DIV/0!</v>
      </c>
      <c r="E45" s="29" t="e">
        <f t="shared" si="37"/>
        <v>#DIV/0!</v>
      </c>
      <c r="F45" s="29" t="e">
        <f t="shared" si="37"/>
        <v>#DIV/0!</v>
      </c>
      <c r="G45" s="29" t="e">
        <f t="shared" si="37"/>
        <v>#DIV/0!</v>
      </c>
      <c r="H45" s="29" t="e">
        <f t="shared" si="37"/>
        <v>#DIV/0!</v>
      </c>
      <c r="I45" s="29">
        <f t="shared" si="37"/>
        <v>2.866005108451064</v>
      </c>
      <c r="J45" s="29">
        <f t="shared" si="37"/>
        <v>2.1395978676760135</v>
      </c>
      <c r="K45" s="29">
        <f t="shared" si="37"/>
        <v>0.45841101237386472</v>
      </c>
      <c r="L45" s="29">
        <f t="shared" si="37"/>
        <v>0.81142108498118248</v>
      </c>
      <c r="M45" s="29">
        <f t="shared" si="37"/>
        <v>1.0414112167029947</v>
      </c>
      <c r="N45" s="29">
        <f t="shared" si="37"/>
        <v>1.3533289876315304</v>
      </c>
      <c r="O45" s="29">
        <f t="shared" si="37"/>
        <v>9.3687188592972728</v>
      </c>
      <c r="P45" s="29">
        <f t="shared" si="37"/>
        <v>7.3733456828566162</v>
      </c>
      <c r="Q45" s="29">
        <f t="shared" si="37"/>
        <v>35.256566635493733</v>
      </c>
      <c r="R45" s="29">
        <f t="shared" si="37"/>
        <v>14.648501886881395</v>
      </c>
      <c r="S45" s="29">
        <f t="shared" si="37"/>
        <v>5.442211521917339</v>
      </c>
      <c r="T45" s="29">
        <f t="shared" si="37"/>
        <v>5.984462096360283</v>
      </c>
      <c r="U45" s="29">
        <f t="shared" si="37"/>
        <v>5.5657269691386295</v>
      </c>
      <c r="V45" s="29">
        <f t="shared" si="37"/>
        <v>4.3201337035130205</v>
      </c>
      <c r="W45" s="29">
        <f t="shared" si="37"/>
        <v>4.4028501929564348</v>
      </c>
      <c r="X45" s="29">
        <f t="shared" si="37"/>
        <v>4.4718753134366089</v>
      </c>
      <c r="Y45" s="29">
        <f t="shared" si="37"/>
        <v>4.578811766381766</v>
      </c>
      <c r="Z45" s="29">
        <f t="shared" si="37"/>
        <v>4.8181818181818175</v>
      </c>
      <c r="AA45" s="29">
        <f t="shared" si="37"/>
        <v>4.3633540372670803</v>
      </c>
      <c r="AB45" s="29">
        <f t="shared" si="37"/>
        <v>4.558441558441559</v>
      </c>
      <c r="AC45" s="29">
        <f t="shared" si="37"/>
        <v>5.4398496240601499</v>
      </c>
      <c r="AD45" s="29">
        <f t="shared" si="37"/>
        <v>9.6732026143790844</v>
      </c>
      <c r="AE45" s="29">
        <f t="shared" ref="AE45" si="38">AE18/AE23</f>
        <v>9.6533333333333342</v>
      </c>
      <c r="AF45" s="29"/>
      <c r="AG45" s="1"/>
    </row>
    <row r="46" spans="1:33" x14ac:dyDescent="0.3">
      <c r="A46" s="18" t="s">
        <v>97</v>
      </c>
      <c r="B46" s="17" t="s">
        <v>100</v>
      </c>
      <c r="C46" s="6" t="s">
        <v>111</v>
      </c>
      <c r="D46" s="28">
        <f t="shared" ref="D46:AF46" si="39">D13/D4</f>
        <v>0</v>
      </c>
      <c r="E46" s="28">
        <f t="shared" si="39"/>
        <v>0</v>
      </c>
      <c r="F46" s="28">
        <f t="shared" si="39"/>
        <v>0</v>
      </c>
      <c r="G46" s="28">
        <f t="shared" si="39"/>
        <v>0</v>
      </c>
      <c r="H46" s="28">
        <f t="shared" si="39"/>
        <v>0</v>
      </c>
      <c r="I46" s="28">
        <f t="shared" si="39"/>
        <v>0</v>
      </c>
      <c r="J46" s="28">
        <f t="shared" si="39"/>
        <v>0</v>
      </c>
      <c r="K46" s="28">
        <f t="shared" si="39"/>
        <v>0</v>
      </c>
      <c r="L46" s="28">
        <f t="shared" si="39"/>
        <v>0</v>
      </c>
      <c r="M46" s="28">
        <f t="shared" si="39"/>
        <v>0</v>
      </c>
      <c r="N46" s="28">
        <f t="shared" si="39"/>
        <v>0</v>
      </c>
      <c r="O46" s="28">
        <f t="shared" si="39"/>
        <v>0</v>
      </c>
      <c r="P46" s="28">
        <f t="shared" si="39"/>
        <v>0</v>
      </c>
      <c r="Q46" s="28">
        <f t="shared" si="39"/>
        <v>0</v>
      </c>
      <c r="R46" s="28">
        <f t="shared" si="39"/>
        <v>0</v>
      </c>
      <c r="S46" s="28">
        <f t="shared" si="39"/>
        <v>0</v>
      </c>
      <c r="T46" s="28">
        <f t="shared" si="39"/>
        <v>0</v>
      </c>
      <c r="U46" s="28">
        <f t="shared" si="39"/>
        <v>0</v>
      </c>
      <c r="V46" s="28">
        <f t="shared" si="39"/>
        <v>0</v>
      </c>
      <c r="W46" s="28">
        <f t="shared" si="39"/>
        <v>0</v>
      </c>
      <c r="X46" s="28">
        <f t="shared" si="39"/>
        <v>0</v>
      </c>
      <c r="Y46" s="28">
        <f t="shared" si="39"/>
        <v>0</v>
      </c>
      <c r="Z46" s="28">
        <f t="shared" si="39"/>
        <v>0</v>
      </c>
      <c r="AA46" s="28">
        <f t="shared" si="39"/>
        <v>0</v>
      </c>
      <c r="AB46" s="28">
        <f t="shared" si="39"/>
        <v>0</v>
      </c>
      <c r="AC46" s="28">
        <f t="shared" si="39"/>
        <v>0</v>
      </c>
      <c r="AD46" s="28">
        <f t="shared" si="39"/>
        <v>0</v>
      </c>
      <c r="AE46" s="28">
        <f t="shared" si="39"/>
        <v>0</v>
      </c>
      <c r="AF46" s="28">
        <f t="shared" si="39"/>
        <v>0</v>
      </c>
      <c r="AG46" s="1"/>
    </row>
  </sheetData>
  <mergeCells count="3">
    <mergeCell ref="A6:A13"/>
    <mergeCell ref="A14:A23"/>
    <mergeCell ref="AC2:AF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E2342-451C-4513-8825-5CD2EDE0623C}">
  <sheetPr codeName="Planilha6"/>
  <dimension ref="A1:AC82"/>
  <sheetViews>
    <sheetView zoomScaleNormal="100" workbookViewId="0">
      <pane xSplit="3" ySplit="3" topLeftCell="M4" activePane="bottomRight" state="frozen"/>
      <selection activeCell="C46" sqref="C46"/>
      <selection pane="topRight" activeCell="C46" sqref="C46"/>
      <selection pane="bottomLeft" activeCell="C46" sqref="C46"/>
      <selection pane="bottomRight" activeCell="AE10" sqref="AE10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27" width="8.33203125" customWidth="1"/>
  </cols>
  <sheetData>
    <row r="1" spans="1:29" x14ac:dyDescent="0.3"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9" x14ac:dyDescent="0.3">
      <c r="G2" s="69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69"/>
    </row>
    <row r="3" spans="1:29" s="10" customFormat="1" x14ac:dyDescent="0.3">
      <c r="A3" s="9" t="s">
        <v>25</v>
      </c>
      <c r="B3" s="8" t="s">
        <v>23</v>
      </c>
      <c r="C3" s="9" t="s">
        <v>24</v>
      </c>
      <c r="D3" s="8">
        <v>98</v>
      </c>
      <c r="E3" s="8">
        <v>99</v>
      </c>
      <c r="F3" s="8">
        <v>2000</v>
      </c>
      <c r="G3" s="8">
        <v>1</v>
      </c>
      <c r="H3" s="8">
        <v>2</v>
      </c>
      <c r="I3" s="8">
        <v>3</v>
      </c>
      <c r="J3" s="8">
        <v>4</v>
      </c>
      <c r="K3" s="8">
        <v>5</v>
      </c>
      <c r="L3" s="8">
        <v>6</v>
      </c>
      <c r="M3" s="8">
        <v>7</v>
      </c>
      <c r="N3" s="8">
        <v>8</v>
      </c>
      <c r="O3" s="8">
        <v>9</v>
      </c>
      <c r="P3" s="8">
        <v>10</v>
      </c>
      <c r="Q3" s="8">
        <v>11</v>
      </c>
      <c r="R3" s="8">
        <v>12</v>
      </c>
      <c r="S3" s="8">
        <v>13</v>
      </c>
      <c r="T3" s="8">
        <v>14</v>
      </c>
      <c r="U3" s="8">
        <v>15</v>
      </c>
      <c r="V3" s="8">
        <v>16</v>
      </c>
      <c r="W3" s="8">
        <v>17</v>
      </c>
      <c r="X3" s="8">
        <v>18</v>
      </c>
      <c r="Y3" s="8">
        <v>19</v>
      </c>
      <c r="Z3" s="8">
        <v>20</v>
      </c>
      <c r="AA3" s="8">
        <v>21</v>
      </c>
      <c r="AB3" s="8" t="s">
        <v>94</v>
      </c>
      <c r="AC3" s="8" t="s">
        <v>116</v>
      </c>
    </row>
    <row r="4" spans="1:29" x14ac:dyDescent="0.3">
      <c r="A4" s="4" t="s">
        <v>5</v>
      </c>
      <c r="B4" s="11">
        <v>1</v>
      </c>
      <c r="C4" s="6" t="s">
        <v>4</v>
      </c>
      <c r="D4" s="20">
        <v>18.13</v>
      </c>
      <c r="E4" s="20">
        <v>19.079999999999998</v>
      </c>
      <c r="F4" s="20">
        <v>19.559999999999999</v>
      </c>
      <c r="G4" s="20">
        <v>16.47</v>
      </c>
      <c r="H4" s="20">
        <v>8.25</v>
      </c>
      <c r="I4" s="20">
        <v>7.17</v>
      </c>
      <c r="J4" s="20">
        <v>7.66</v>
      </c>
      <c r="K4" s="20">
        <v>9.44</v>
      </c>
      <c r="L4" s="20">
        <v>11.35</v>
      </c>
      <c r="M4" s="20">
        <v>11.84</v>
      </c>
      <c r="N4" s="20">
        <v>3.67</v>
      </c>
      <c r="O4" s="20">
        <v>3.81</v>
      </c>
      <c r="P4" s="20">
        <v>2.62</v>
      </c>
      <c r="Q4" s="20">
        <v>0.66</v>
      </c>
      <c r="R4" s="20">
        <v>0.56000000000000005</v>
      </c>
      <c r="S4" s="20">
        <v>1.25</v>
      </c>
      <c r="T4" s="20">
        <v>0.85</v>
      </c>
      <c r="U4" s="20">
        <v>0.63</v>
      </c>
      <c r="V4" s="20">
        <v>0.18446000000000001</v>
      </c>
      <c r="W4" s="20">
        <v>0.27200000000000002</v>
      </c>
      <c r="X4" s="19">
        <v>0.22950000000000001</v>
      </c>
      <c r="Y4" s="19">
        <v>0.20280000000000001</v>
      </c>
      <c r="Z4" s="19">
        <v>0.1232</v>
      </c>
      <c r="AA4" s="19">
        <v>0.1409</v>
      </c>
      <c r="AB4" s="19">
        <v>0.19189999999999999</v>
      </c>
      <c r="AC4" s="19">
        <v>0.19189999999999999</v>
      </c>
    </row>
    <row r="5" spans="1:29" x14ac:dyDescent="0.3">
      <c r="A5" s="5" t="s">
        <v>8</v>
      </c>
      <c r="B5" s="12">
        <v>3</v>
      </c>
      <c r="C5" s="1" t="s">
        <v>86</v>
      </c>
      <c r="D5" s="62">
        <v>200</v>
      </c>
      <c r="E5" s="62">
        <v>1000</v>
      </c>
      <c r="F5" s="62">
        <v>2101.5625490000002</v>
      </c>
      <c r="G5" s="62">
        <v>2326.7148769999999</v>
      </c>
      <c r="H5" s="62">
        <v>2326.7148769999999</v>
      </c>
      <c r="I5" s="62">
        <v>3257.400877</v>
      </c>
      <c r="J5" s="62">
        <v>3257.400877</v>
      </c>
      <c r="K5" s="62">
        <v>3257.400877</v>
      </c>
      <c r="L5" s="62">
        <v>3611.3295670000002</v>
      </c>
      <c r="M5" s="62">
        <v>3611.3295670000002</v>
      </c>
      <c r="N5" s="62">
        <v>4694.6000000000004</v>
      </c>
      <c r="O5" s="62">
        <v>4694.6000000000004</v>
      </c>
      <c r="P5" s="62">
        <v>4694.6000000000004</v>
      </c>
      <c r="Q5" s="62">
        <v>7207.1670599999998</v>
      </c>
      <c r="R5" s="62">
        <v>19707.16706</v>
      </c>
      <c r="S5" s="62">
        <v>19707.16706</v>
      </c>
      <c r="T5" s="62">
        <v>3019</v>
      </c>
      <c r="U5" s="62">
        <v>3643</v>
      </c>
      <c r="V5" s="62">
        <v>7151</v>
      </c>
      <c r="W5" s="62">
        <v>13314</v>
      </c>
      <c r="X5" s="3">
        <v>15114</v>
      </c>
      <c r="Y5" s="3">
        <v>15113.989952</v>
      </c>
      <c r="Z5" s="3">
        <v>15113.989952</v>
      </c>
      <c r="AA5" s="3">
        <v>15113.989952</v>
      </c>
      <c r="AB5" s="3">
        <v>15113.989952</v>
      </c>
      <c r="AC5" s="3">
        <v>15113.989952</v>
      </c>
    </row>
    <row r="6" spans="1:29" x14ac:dyDescent="0.3">
      <c r="A6" s="101" t="s">
        <v>7</v>
      </c>
      <c r="B6" s="13">
        <v>4</v>
      </c>
      <c r="C6" s="6" t="s">
        <v>104</v>
      </c>
      <c r="D6" s="7">
        <f>(331221.235+2456.394+67128.794)*5/1000</f>
        <v>2004.0321149999997</v>
      </c>
      <c r="E6" s="7">
        <f>(308599639+2135714+72887000)*5/1000000</f>
        <v>1918.1117650000001</v>
      </c>
      <c r="F6" s="7">
        <f>(3048442+118928+505093)/1000</f>
        <v>3672.4630000000002</v>
      </c>
      <c r="G6" s="7">
        <f>(3414370+203235+411152)/1000</f>
        <v>4028.7570000000001</v>
      </c>
      <c r="H6" s="7">
        <f>2988.451+1661.703</f>
        <v>4650.1540000000005</v>
      </c>
      <c r="I6" s="7">
        <f>3056.494+1590.483</f>
        <v>4646.9769999999999</v>
      </c>
      <c r="J6" s="7">
        <v>2426.538</v>
      </c>
      <c r="K6" s="7">
        <v>2860.3310000000001</v>
      </c>
      <c r="L6" s="7">
        <v>2702.002</v>
      </c>
      <c r="M6" s="7">
        <v>2732.942</v>
      </c>
      <c r="N6" s="7">
        <v>2591.35</v>
      </c>
      <c r="O6" s="7">
        <v>2351.962</v>
      </c>
      <c r="P6" s="7">
        <v>2821.165</v>
      </c>
      <c r="Q6" s="7">
        <v>2554.864</v>
      </c>
      <c r="R6" s="7">
        <v>2070.0160000000001</v>
      </c>
      <c r="S6" s="7">
        <v>1743.788</v>
      </c>
      <c r="T6" s="7">
        <v>2211.0639999999999</v>
      </c>
      <c r="U6" s="7">
        <v>2510.1590000000001</v>
      </c>
      <c r="V6" s="7">
        <v>2022</v>
      </c>
      <c r="W6" s="7">
        <v>2102</v>
      </c>
      <c r="X6" s="7">
        <v>2187</v>
      </c>
      <c r="Y6" s="7">
        <v>2338</v>
      </c>
      <c r="Z6" s="7">
        <v>2343</v>
      </c>
      <c r="AA6" s="7">
        <v>2318</v>
      </c>
      <c r="AB6" s="7">
        <v>2409</v>
      </c>
      <c r="AC6" s="7">
        <v>2491</v>
      </c>
    </row>
    <row r="7" spans="1:29" x14ac:dyDescent="0.3">
      <c r="A7" s="101"/>
      <c r="B7" s="13">
        <v>5</v>
      </c>
      <c r="C7" s="1" t="s">
        <v>9</v>
      </c>
      <c r="D7" s="3">
        <f>D8+((25692818/1000)*5)/1000</f>
        <v>451.74486999999982</v>
      </c>
      <c r="E7" s="3">
        <f>E8+((25587713)*5)/1000000</f>
        <v>476.71177500000005</v>
      </c>
      <c r="F7" s="3">
        <f>F8+(89.583)</f>
        <v>1269.2365459999996</v>
      </c>
      <c r="G7" s="3">
        <f>G8+79.924</f>
        <v>1455.5970379999994</v>
      </c>
      <c r="H7" s="3">
        <f>H8+174.024</f>
        <v>1800.3919999999998</v>
      </c>
      <c r="I7" s="3">
        <f>I8+203.056</f>
        <v>2053.8629999999998</v>
      </c>
      <c r="J7" s="3">
        <f>J8+212.185</f>
        <v>408.483</v>
      </c>
      <c r="K7" s="3">
        <f>K8+139.789</f>
        <v>921.15200000000004</v>
      </c>
      <c r="L7" s="3">
        <f>L8+111.492</f>
        <v>932.72899999999993</v>
      </c>
      <c r="M7" s="3">
        <f>M8+114.896</f>
        <v>744.16499999999996</v>
      </c>
      <c r="N7" s="3">
        <f>N8+112.843</f>
        <v>444.17900000000003</v>
      </c>
      <c r="O7" s="3">
        <f>O8+104.736</f>
        <v>259.06299999999999</v>
      </c>
      <c r="P7" s="3">
        <f>P8+54.158</f>
        <v>407.58300000000003</v>
      </c>
      <c r="Q7" s="3">
        <f>Q8+66.857</f>
        <v>-1142.518</v>
      </c>
      <c r="R7" s="3">
        <f>R8+68.05</f>
        <v>-502.416</v>
      </c>
      <c r="S7" s="3">
        <f>S8+68.123</f>
        <v>-769.92099999999994</v>
      </c>
      <c r="T7" s="3">
        <f>T8+65.543</f>
        <v>-189.267</v>
      </c>
      <c r="U7" s="3">
        <f>U8+66.623</f>
        <v>475.94299999999998</v>
      </c>
      <c r="V7" s="3">
        <f>V8+49.824</f>
        <v>1366.8240000000001</v>
      </c>
      <c r="W7" s="3">
        <v>995.78</v>
      </c>
      <c r="X7" s="3">
        <v>1217</v>
      </c>
      <c r="Y7" s="3">
        <v>1294</v>
      </c>
      <c r="Z7" s="3">
        <v>1369</v>
      </c>
      <c r="AA7" s="66">
        <v>1424</v>
      </c>
      <c r="AB7" s="92">
        <v>1533</v>
      </c>
      <c r="AC7" s="81">
        <v>1660</v>
      </c>
    </row>
    <row r="8" spans="1:29" x14ac:dyDescent="0.3">
      <c r="A8" s="101"/>
      <c r="B8" s="13">
        <v>6</v>
      </c>
      <c r="C8" s="6" t="s">
        <v>10</v>
      </c>
      <c r="D8" s="7">
        <f>D6-(((191057323+5299447+137783621+2009876)/1000)*5)/1000</f>
        <v>323.28077999999982</v>
      </c>
      <c r="E8" s="7">
        <f>E6-(((157124790+5312136+149679130+1751655))*5)/1000000</f>
        <v>348.77321000000006</v>
      </c>
      <c r="F8" s="7">
        <f>F6-(2140.088+38.876+313.831+14.454/1000)</f>
        <v>1179.6535459999996</v>
      </c>
      <c r="G8" s="7">
        <f>G6-(2370.909+36.438+245.722+14.962/1000)</f>
        <v>1375.6730379999995</v>
      </c>
      <c r="H8" s="7">
        <v>1626.3679999999999</v>
      </c>
      <c r="I8" s="7">
        <v>1850.807</v>
      </c>
      <c r="J8" s="7">
        <v>196.298</v>
      </c>
      <c r="K8" s="7">
        <v>781.36300000000006</v>
      </c>
      <c r="L8" s="7">
        <v>821.23699999999997</v>
      </c>
      <c r="M8" s="7">
        <v>629.26900000000001</v>
      </c>
      <c r="N8" s="7">
        <v>331.33600000000001</v>
      </c>
      <c r="O8" s="7">
        <v>154.327</v>
      </c>
      <c r="P8" s="7">
        <v>353.42500000000001</v>
      </c>
      <c r="Q8" s="7">
        <v>-1209.375</v>
      </c>
      <c r="R8" s="7">
        <v>-570.46600000000001</v>
      </c>
      <c r="S8" s="7">
        <v>-838.04399999999998</v>
      </c>
      <c r="T8" s="7">
        <v>-254.81</v>
      </c>
      <c r="U8" s="7">
        <v>409.32</v>
      </c>
      <c r="V8" s="7">
        <v>1317</v>
      </c>
      <c r="W8" s="7">
        <v>942.2</v>
      </c>
      <c r="X8" s="7">
        <v>1159</v>
      </c>
      <c r="Y8" s="7">
        <v>1169</v>
      </c>
      <c r="Z8" s="7">
        <v>1231</v>
      </c>
      <c r="AA8" s="7">
        <v>1082</v>
      </c>
      <c r="AB8" s="7">
        <v>1247</v>
      </c>
      <c r="AC8" s="7">
        <v>1332</v>
      </c>
    </row>
    <row r="9" spans="1:29" x14ac:dyDescent="0.3">
      <c r="A9" s="101"/>
      <c r="B9" s="13">
        <v>11</v>
      </c>
      <c r="C9" s="1" t="s">
        <v>11</v>
      </c>
      <c r="D9" s="3">
        <f>(((65447.751+14772.416)*5)-((42731.548+56716.219+4726.121)*5))/1000</f>
        <v>-119.76860499999992</v>
      </c>
      <c r="E9" s="3">
        <f>(((51079742+14132976)*5)-((24727552+88051074+37155)*5))/1000000</f>
        <v>-238.01531499999999</v>
      </c>
      <c r="F9" s="3">
        <f>(393.386+93.787)-(313.831+434.244+57.605)</f>
        <v>-318.50700000000006</v>
      </c>
      <c r="G9" s="3">
        <f>(260.015+44.467)-(245.722+284.074)</f>
        <v>-225.31400000000008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>
        <v>-458</v>
      </c>
      <c r="Y9" s="3">
        <v>-418</v>
      </c>
      <c r="Z9" s="3">
        <v>-272</v>
      </c>
      <c r="AA9" s="66">
        <v>-116</v>
      </c>
      <c r="AB9" s="62">
        <v>-129</v>
      </c>
      <c r="AC9" s="62">
        <v>-137</v>
      </c>
    </row>
    <row r="10" spans="1:29" x14ac:dyDescent="0.3">
      <c r="A10" s="101"/>
      <c r="B10" s="13">
        <v>12</v>
      </c>
      <c r="C10" s="6" t="s">
        <v>12</v>
      </c>
      <c r="D10" s="7">
        <f>D12+D11</f>
        <v>322.010965</v>
      </c>
      <c r="E10" s="7">
        <f>E12+E11</f>
        <v>485.49506500000001</v>
      </c>
      <c r="F10" s="7">
        <f t="shared" ref="F10:G10" si="0">F12+F11</f>
        <v>1160.249</v>
      </c>
      <c r="G10" s="7">
        <f t="shared" si="0"/>
        <v>582.58799999999997</v>
      </c>
      <c r="H10" s="7">
        <v>598.83799999999997</v>
      </c>
      <c r="I10" s="7">
        <v>535.53899999999999</v>
      </c>
      <c r="J10" s="7">
        <v>289.83800000000002</v>
      </c>
      <c r="K10" s="7">
        <v>937.93600000000004</v>
      </c>
      <c r="L10" s="7">
        <v>993.92399999999998</v>
      </c>
      <c r="M10" s="7">
        <v>688.21600000000001</v>
      </c>
      <c r="N10" s="7">
        <v>342.00900000000001</v>
      </c>
      <c r="O10" s="7">
        <v>295.51900000000001</v>
      </c>
      <c r="P10" s="7">
        <v>418.108</v>
      </c>
      <c r="Q10" s="7">
        <v>-1221.627</v>
      </c>
      <c r="R10" s="7">
        <v>539</v>
      </c>
      <c r="S10" s="7">
        <v>812.54300000000001</v>
      </c>
      <c r="T10" s="7">
        <v>-173.405</v>
      </c>
      <c r="U10" s="7">
        <v>402.71</v>
      </c>
      <c r="V10" s="7">
        <v>-281.27999999999997</v>
      </c>
      <c r="W10" s="7">
        <v>318.49099999999999</v>
      </c>
      <c r="X10" s="7">
        <v>558.20000000000005</v>
      </c>
      <c r="Y10" s="7">
        <v>627.27</v>
      </c>
      <c r="Z10" s="7">
        <v>345.01</v>
      </c>
      <c r="AA10" s="7">
        <v>189.93</v>
      </c>
      <c r="AB10" s="7">
        <v>504.69</v>
      </c>
      <c r="AC10" s="7">
        <v>777.37</v>
      </c>
    </row>
    <row r="11" spans="1:29" x14ac:dyDescent="0.3">
      <c r="A11" s="101"/>
      <c r="B11" s="13">
        <v>13</v>
      </c>
      <c r="C11" s="1" t="s">
        <v>13</v>
      </c>
      <c r="D11" s="3">
        <f>((10196960/1000)*5)/1000</f>
        <v>50.984799999999993</v>
      </c>
      <c r="E11" s="3">
        <f>((10814246)*5)/1000000</f>
        <v>54.07123</v>
      </c>
      <c r="F11" s="3">
        <v>79.128</v>
      </c>
      <c r="G11" s="3">
        <v>65.971999999999994</v>
      </c>
      <c r="H11" s="3">
        <v>55.378999999999998</v>
      </c>
      <c r="I11" s="3">
        <v>37.883000000000003</v>
      </c>
      <c r="J11" s="3">
        <v>57.776000000000003</v>
      </c>
      <c r="K11" s="3">
        <v>72.933999999999997</v>
      </c>
      <c r="L11" s="3">
        <v>87.936000000000007</v>
      </c>
      <c r="M11" s="3">
        <v>73.045000000000002</v>
      </c>
      <c r="N11" s="3">
        <v>44.000999999999998</v>
      </c>
      <c r="O11" s="3">
        <v>65.634</v>
      </c>
      <c r="P11" s="3">
        <v>54.158000000000001</v>
      </c>
      <c r="Q11" s="3">
        <v>66.856999999999999</v>
      </c>
      <c r="R11" s="3">
        <v>81.286000000000001</v>
      </c>
      <c r="S11" s="3">
        <v>115.63500000000001</v>
      </c>
      <c r="T11" s="3">
        <v>100.995</v>
      </c>
      <c r="U11" s="3">
        <v>99.745999999999995</v>
      </c>
      <c r="V11" s="3">
        <v>-381.9</v>
      </c>
      <c r="W11" s="3">
        <v>30.1</v>
      </c>
      <c r="X11" s="3">
        <v>138</v>
      </c>
      <c r="Y11" s="3">
        <v>239.28</v>
      </c>
      <c r="Z11" s="3">
        <v>136.63999999999999</v>
      </c>
      <c r="AA11" s="3">
        <v>184.53</v>
      </c>
      <c r="AB11" s="7">
        <v>220.67</v>
      </c>
      <c r="AC11" s="62">
        <v>243.27</v>
      </c>
    </row>
    <row r="12" spans="1:29" x14ac:dyDescent="0.3">
      <c r="A12" s="101"/>
      <c r="B12" s="13">
        <v>14</v>
      </c>
      <c r="C12" s="6" t="s">
        <v>105</v>
      </c>
      <c r="D12" s="7">
        <f>((54205233/1000)*5)/1000</f>
        <v>271.02616499999999</v>
      </c>
      <c r="E12" s="7">
        <f>((86284767)*5)/1000000</f>
        <v>431.423835</v>
      </c>
      <c r="F12" s="7">
        <f>1081121/1000</f>
        <v>1081.1210000000001</v>
      </c>
      <c r="G12" s="7">
        <f>516616/1000</f>
        <v>516.61599999999999</v>
      </c>
      <c r="H12" s="7">
        <v>272.72210000000001</v>
      </c>
      <c r="I12" s="7">
        <v>437.654</v>
      </c>
      <c r="J12" s="7">
        <v>631.53399999999999</v>
      </c>
      <c r="K12" s="7">
        <v>840.48699999999997</v>
      </c>
      <c r="L12" s="7">
        <v>839.09900000000005</v>
      </c>
      <c r="M12" s="7">
        <v>618.64599999999996</v>
      </c>
      <c r="N12" s="7">
        <v>258.01100000000002</v>
      </c>
      <c r="O12" s="7">
        <v>249.30199999999999</v>
      </c>
      <c r="P12" s="7">
        <v>403.76400000000001</v>
      </c>
      <c r="Q12" s="7">
        <v>-762.77</v>
      </c>
      <c r="R12" s="7">
        <v>-1137.21</v>
      </c>
      <c r="S12" s="7">
        <v>-646.74800000000005</v>
      </c>
      <c r="T12" s="7">
        <v>-116.56</v>
      </c>
      <c r="U12" s="7">
        <v>360.96100000000001</v>
      </c>
      <c r="V12" s="7">
        <v>-21.3</v>
      </c>
      <c r="W12" s="7">
        <v>186.39</v>
      </c>
      <c r="X12" s="7">
        <v>301.10000000000002</v>
      </c>
      <c r="Y12" s="7">
        <v>302</v>
      </c>
      <c r="Z12" s="7">
        <v>183.01</v>
      </c>
      <c r="AA12" s="7">
        <v>116.88</v>
      </c>
      <c r="AB12" s="7">
        <v>292.41000000000003</v>
      </c>
      <c r="AC12" s="7">
        <v>443.44</v>
      </c>
    </row>
    <row r="13" spans="1:29" x14ac:dyDescent="0.3">
      <c r="A13" s="101"/>
      <c r="B13" s="13">
        <v>2</v>
      </c>
      <c r="C13" s="1" t="s">
        <v>15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22">
        <f>293.096/J5</f>
        <v>8.9978486243282238E-2</v>
      </c>
      <c r="K13" s="22">
        <f>221.502/K5</f>
        <v>6.7999613300282175E-2</v>
      </c>
      <c r="L13" s="22">
        <f>266.387/L5</f>
        <v>7.3764245289109048E-2</v>
      </c>
      <c r="M13" s="22">
        <f>306.963/M5</f>
        <v>8.4999996346221032E-2</v>
      </c>
      <c r="N13" s="22">
        <v>0</v>
      </c>
      <c r="O13" s="22">
        <f>79.108/O5</f>
        <v>1.6850849912665614E-2</v>
      </c>
      <c r="P13" s="22">
        <f>89.095/P5</f>
        <v>1.8978187705022791E-2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35">
        <v>0</v>
      </c>
      <c r="Y13" s="35">
        <v>0</v>
      </c>
      <c r="Z13" s="35">
        <v>0</v>
      </c>
      <c r="AA13" s="35">
        <v>0</v>
      </c>
      <c r="AB13" s="19">
        <v>0</v>
      </c>
      <c r="AC13" s="19">
        <v>0.01</v>
      </c>
    </row>
    <row r="14" spans="1:29" x14ac:dyDescent="0.3">
      <c r="A14" s="102" t="s">
        <v>14</v>
      </c>
      <c r="B14" s="14">
        <v>8</v>
      </c>
      <c r="C14" s="6" t="s">
        <v>16</v>
      </c>
      <c r="D14" s="7">
        <f>(167334.996)*5/1000</f>
        <v>836.67498000000012</v>
      </c>
      <c r="E14" s="7">
        <v>1170.8620000000001</v>
      </c>
      <c r="F14" s="7">
        <v>1609.8520000000001</v>
      </c>
      <c r="G14" s="7">
        <v>1921.2929999999999</v>
      </c>
      <c r="H14" s="7">
        <v>1348.3430000000001</v>
      </c>
      <c r="I14" s="7">
        <v>1536.7809999999999</v>
      </c>
      <c r="J14" s="7">
        <v>1536.662</v>
      </c>
      <c r="K14" s="7">
        <v>1345.722</v>
      </c>
      <c r="L14" s="7">
        <v>1523.405</v>
      </c>
      <c r="M14" s="7">
        <v>1474.5920000000001</v>
      </c>
      <c r="N14" s="7">
        <v>1732.239</v>
      </c>
      <c r="O14" s="7">
        <v>1523.0260000000001</v>
      </c>
      <c r="P14" s="7">
        <v>1952.4469999999999</v>
      </c>
      <c r="Q14" s="7">
        <v>2268.5540000000001</v>
      </c>
      <c r="R14" s="7">
        <v>1562.3</v>
      </c>
      <c r="S14" s="7">
        <v>1733.73</v>
      </c>
      <c r="T14" s="7">
        <v>1398.5840000000001</v>
      </c>
      <c r="U14" s="7">
        <v>2762</v>
      </c>
      <c r="V14" s="7">
        <v>2631</v>
      </c>
      <c r="W14" s="7">
        <v>3234</v>
      </c>
      <c r="X14" s="7">
        <v>3644</v>
      </c>
      <c r="Y14" s="7">
        <v>6060</v>
      </c>
      <c r="Z14" s="7">
        <v>6319</v>
      </c>
      <c r="AA14" s="7">
        <v>6222</v>
      </c>
      <c r="AB14" s="1"/>
      <c r="AC14" s="1"/>
    </row>
    <row r="15" spans="1:29" x14ac:dyDescent="0.3">
      <c r="A15" s="103"/>
      <c r="B15" s="14">
        <v>7</v>
      </c>
      <c r="C15" s="1" t="s">
        <v>17</v>
      </c>
      <c r="D15" s="3">
        <f>((1644979.818)*5)/1000</f>
        <v>8224.899089999999</v>
      </c>
      <c r="E15" s="3">
        <f>((2217716454)*5)/1000000</f>
        <v>11088.582270000001</v>
      </c>
      <c r="F15" s="3">
        <v>23823.447</v>
      </c>
      <c r="G15" s="3">
        <v>25247.452000000001</v>
      </c>
      <c r="H15" s="3">
        <f>400.244+12740.586</f>
        <v>13140.83</v>
      </c>
      <c r="I15" s="3">
        <f>173.092+11187.389</f>
        <v>11360.481</v>
      </c>
      <c r="J15" s="3">
        <v>17028.037</v>
      </c>
      <c r="K15" s="3">
        <v>18230.381000000001</v>
      </c>
      <c r="L15" s="3">
        <v>22687.353999999999</v>
      </c>
      <c r="M15" s="3">
        <v>26798.49</v>
      </c>
      <c r="N15" s="3">
        <v>20515.565999999999</v>
      </c>
      <c r="O15" s="3">
        <v>19953.226999999999</v>
      </c>
      <c r="P15" s="3">
        <v>18137.39</v>
      </c>
      <c r="Q15" s="3">
        <v>16236.201999999999</v>
      </c>
      <c r="R15" s="3">
        <v>13862.999</v>
      </c>
      <c r="S15" s="3">
        <v>9411.2270000000008</v>
      </c>
      <c r="T15" s="3">
        <v>5709.5690000000004</v>
      </c>
      <c r="U15" s="3">
        <v>6447</v>
      </c>
      <c r="V15" s="3">
        <v>5149</v>
      </c>
      <c r="W15" s="3">
        <v>3351</v>
      </c>
      <c r="X15" s="3">
        <v>2760</v>
      </c>
      <c r="Y15" s="3">
        <v>3174</v>
      </c>
      <c r="Z15" s="3">
        <v>2785</v>
      </c>
      <c r="AA15" s="3">
        <v>2932</v>
      </c>
      <c r="AB15" s="1"/>
      <c r="AC15" s="1"/>
    </row>
    <row r="16" spans="1:29" x14ac:dyDescent="0.3">
      <c r="A16" s="103"/>
      <c r="B16" s="14">
        <v>9</v>
      </c>
      <c r="C16" s="6" t="s">
        <v>92</v>
      </c>
      <c r="D16" s="7">
        <f>((176533.608)*5)/1000</f>
        <v>882.66804000000002</v>
      </c>
      <c r="E16" s="7">
        <f>((264665585)*5)/1000000</f>
        <v>1323.3279250000001</v>
      </c>
      <c r="F16" s="7">
        <v>0</v>
      </c>
      <c r="G16" s="7">
        <v>0</v>
      </c>
      <c r="H16" s="7">
        <v>1355.27</v>
      </c>
      <c r="I16" s="7">
        <v>1493.463</v>
      </c>
      <c r="J16" s="7">
        <v>395.23700000000002</v>
      </c>
      <c r="K16" s="7">
        <v>354.52600000000001</v>
      </c>
      <c r="L16" s="7">
        <v>226.048</v>
      </c>
      <c r="M16" s="7">
        <v>281.57299999999998</v>
      </c>
      <c r="N16" s="7">
        <v>287.74400000000003</v>
      </c>
      <c r="O16" s="7">
        <v>344.30500000000001</v>
      </c>
      <c r="P16" s="7">
        <v>497.50099999999998</v>
      </c>
      <c r="Q16" s="7">
        <v>547.61500000000001</v>
      </c>
      <c r="R16" s="7">
        <v>628.01400000000001</v>
      </c>
      <c r="S16" s="7">
        <v>692.601</v>
      </c>
      <c r="T16" s="7">
        <v>774.37099999999998</v>
      </c>
      <c r="U16" s="7">
        <v>1057.402</v>
      </c>
      <c r="V16" s="7">
        <v>883.06500000000005</v>
      </c>
      <c r="W16" s="7">
        <v>1098.921</v>
      </c>
      <c r="X16" s="7">
        <v>1183</v>
      </c>
      <c r="Y16" s="7">
        <v>1262</v>
      </c>
      <c r="Z16" s="7">
        <v>1165</v>
      </c>
      <c r="AA16" s="7">
        <v>1069</v>
      </c>
      <c r="AB16" s="1"/>
      <c r="AC16" s="1"/>
    </row>
    <row r="17" spans="1:29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500</v>
      </c>
      <c r="K17" s="3">
        <v>1000</v>
      </c>
      <c r="L17" s="3">
        <v>1000</v>
      </c>
      <c r="M17" s="3">
        <v>1000</v>
      </c>
      <c r="N17" s="3">
        <v>1000</v>
      </c>
      <c r="O17" s="3">
        <v>1000</v>
      </c>
      <c r="P17" s="3">
        <v>1000</v>
      </c>
      <c r="Q17" s="3">
        <v>171.17500000000001</v>
      </c>
      <c r="R17" s="3">
        <v>171.17500000000001</v>
      </c>
      <c r="S17" s="3">
        <v>171.17500000000001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1"/>
      <c r="AC17" s="1"/>
    </row>
    <row r="18" spans="1:29" x14ac:dyDescent="0.3">
      <c r="A18" s="103"/>
      <c r="B18" s="14">
        <v>15</v>
      </c>
      <c r="C18" s="6" t="s">
        <v>19</v>
      </c>
      <c r="D18" s="7">
        <f>((5801997.018*5)-(196969+115197.231-57804+11.351+176533.608+54205.233)*5)/1000</f>
        <v>26584.422975000001</v>
      </c>
      <c r="E18" s="7">
        <f>((7076736.19*5)-(220482+117723.467-40978.748+8.43+264665.585+86284.767)*5)/1000</f>
        <v>32142.753445000006</v>
      </c>
      <c r="F18" s="7">
        <f>61024.902-F23</f>
        <v>57569.946000000004</v>
      </c>
      <c r="G18" s="7">
        <f>63390.023-G23</f>
        <v>58979.468999999997</v>
      </c>
      <c r="H18" s="7">
        <v>58307.881999999998</v>
      </c>
      <c r="I18" s="7">
        <v>63343.313000000002</v>
      </c>
      <c r="J18" s="7">
        <v>67709.596000000005</v>
      </c>
      <c r="K18" s="7">
        <v>72247.581999999995</v>
      </c>
      <c r="L18" s="7">
        <v>74190.805999999997</v>
      </c>
      <c r="M18" s="7">
        <v>83266.906000000003</v>
      </c>
      <c r="N18" s="7">
        <v>88175.49</v>
      </c>
      <c r="O18" s="7">
        <v>88329.608999999997</v>
      </c>
      <c r="P18" s="7">
        <v>92935.153999999995</v>
      </c>
      <c r="Q18" s="7">
        <v>89107.706000000006</v>
      </c>
      <c r="R18" s="7">
        <v>85743.850999999995</v>
      </c>
      <c r="S18" s="7">
        <v>78731.225000000006</v>
      </c>
      <c r="T18" s="7">
        <v>71374.009000000005</v>
      </c>
      <c r="U18" s="7">
        <v>70262</v>
      </c>
      <c r="V18" s="7">
        <v>66883</v>
      </c>
      <c r="W18" s="7">
        <v>65859</v>
      </c>
      <c r="X18" s="7">
        <v>70143</v>
      </c>
      <c r="Y18" s="7">
        <v>75524</v>
      </c>
      <c r="Z18" s="7">
        <v>79494</v>
      </c>
      <c r="AA18" s="7">
        <v>85174</v>
      </c>
      <c r="AB18" s="1"/>
      <c r="AC18" s="1"/>
    </row>
    <row r="19" spans="1:29" x14ac:dyDescent="0.3">
      <c r="A19" s="103"/>
      <c r="B19" s="14">
        <v>18</v>
      </c>
      <c r="C19" s="1" t="s">
        <v>119</v>
      </c>
      <c r="D19" s="3">
        <f>(1644979.818+2963752.588+58203.533)*5/1000</f>
        <v>23334.679694999995</v>
      </c>
      <c r="E19" s="3">
        <f>(2217716464+3115099673+55154007)*5/1000000</f>
        <v>26939.850719999999</v>
      </c>
      <c r="F19" s="3">
        <f>23823.447+25686.873+222.165</f>
        <v>49732.485000000001</v>
      </c>
      <c r="G19" s="3">
        <f>25247.452+24016.954+537.61</f>
        <v>49802.016000000003</v>
      </c>
      <c r="H19" s="3">
        <f>400.244+12308.285+528.285</f>
        <v>13236.814</v>
      </c>
      <c r="I19" s="3">
        <f>173.092+12668.775+581.813</f>
        <v>13423.68</v>
      </c>
      <c r="J19" s="3">
        <f>305.164+9801.84+33392.781</f>
        <v>43499.785000000003</v>
      </c>
      <c r="K19" s="3">
        <f>58.861+11206.019+34395.431</f>
        <v>45660.311000000002</v>
      </c>
      <c r="L19" s="3">
        <f>539.335+12124.716+33244.197</f>
        <v>45908.248</v>
      </c>
      <c r="M19" s="3">
        <f>784.347+8648.135+39246.611</f>
        <v>48679.092999999993</v>
      </c>
      <c r="N19" s="3">
        <f>3342.301+5997.066+44907.168+1383.633</f>
        <v>55630.167999999998</v>
      </c>
      <c r="O19" s="3">
        <f>3409.031+6896.641+46307.233+1358.21</f>
        <v>57971.114999999998</v>
      </c>
      <c r="P19" s="3">
        <f>20076.556+45609.115+18137.39+1264.119</f>
        <v>85087.180000000008</v>
      </c>
      <c r="Q19" s="3">
        <f>17723.419+47516.11+16236.202+1647.208</f>
        <v>83122.938999999998</v>
      </c>
      <c r="R19" s="3">
        <f>15265.76+49404.398+945.628</f>
        <v>65615.786000000007</v>
      </c>
      <c r="S19" s="3">
        <f>13492.536+48959.752+996.524</f>
        <v>63448.811999999998</v>
      </c>
      <c r="T19" s="3">
        <f>10966.155+49816.736+1051.592</f>
        <v>61834.482999999993</v>
      </c>
      <c r="U19" s="3">
        <v>6040</v>
      </c>
      <c r="V19" s="3">
        <v>58598</v>
      </c>
      <c r="W19" s="3">
        <v>55643</v>
      </c>
      <c r="X19" s="3">
        <v>60402</v>
      </c>
      <c r="Y19" s="3">
        <v>65472</v>
      </c>
      <c r="Z19" s="3">
        <v>71884</v>
      </c>
      <c r="AA19" s="3">
        <v>77372</v>
      </c>
      <c r="AB19" s="1"/>
      <c r="AC19" s="1"/>
    </row>
    <row r="20" spans="1:29" x14ac:dyDescent="0.3">
      <c r="A20" s="103"/>
      <c r="B20" s="14">
        <v>17</v>
      </c>
      <c r="C20" s="6" t="s">
        <v>120</v>
      </c>
      <c r="D20" s="7">
        <f>((80677.729+119829.835+569293.411+3643082.619)*5)/1000</f>
        <v>22064.417969999999</v>
      </c>
      <c r="E20" s="7">
        <f>((176039142+139487755+437213098+4758606895)*5)/1000000</f>
        <v>27556.73445</v>
      </c>
      <c r="F20" s="7">
        <f>1213.513+1204.042+9279.718+34287.396</f>
        <v>45984.669000000002</v>
      </c>
      <c r="G20" s="7">
        <f>1611.505+1419.08+10224.128+34126.454</f>
        <v>47381.167000000001</v>
      </c>
      <c r="H20" s="7">
        <f>1286.008+860.306+3209.082+45450.693</f>
        <v>50806.089</v>
      </c>
      <c r="I20" s="7">
        <f>1510.355+967.489+3435.448+49176.508</f>
        <v>55089.8</v>
      </c>
      <c r="J20" s="7">
        <f>J22+1725.8+1032.589+5213.754</f>
        <v>58842.022000000004</v>
      </c>
      <c r="K20" s="7">
        <f>K22+1255.893+875.604+6034.211</f>
        <v>61074.823000000004</v>
      </c>
      <c r="L20" s="7">
        <f>L22+1679.221+917.279+6575.06</f>
        <v>65841.437000000005</v>
      </c>
      <c r="M20" s="7">
        <f>M22+1958.239+820.699+6482.038</f>
        <v>74911.424999999988</v>
      </c>
      <c r="N20" s="7">
        <f>N22+2064.407+1048.348+2892.345</f>
        <v>81170.114000000001</v>
      </c>
      <c r="O20" s="7">
        <f>O22+2244.724+839.552+2025.834</f>
        <v>80301.225999999995</v>
      </c>
      <c r="P20" s="7">
        <f>P22+1484.262+1259.025+2343.972</f>
        <v>78992.664999999994</v>
      </c>
      <c r="Q20" s="7">
        <f>Q22+2115.945+1577.41+2913.015</f>
        <v>74651.905000000013</v>
      </c>
      <c r="R20" s="7">
        <f>R22+3580.546+829.684+1887.389</f>
        <v>68915.853999999992</v>
      </c>
      <c r="S20" s="7">
        <f>S22+2939.663+1054.03+1240.628</f>
        <v>62036.517999999996</v>
      </c>
      <c r="T20" s="7">
        <f>T22+1707.447+795.774+1546.026</f>
        <v>57734.894999999997</v>
      </c>
      <c r="U20" s="7">
        <v>51384</v>
      </c>
      <c r="V20" s="7">
        <v>47490</v>
      </c>
      <c r="W20" s="7">
        <v>45161</v>
      </c>
      <c r="X20" s="7">
        <v>45155</v>
      </c>
      <c r="Y20" s="7">
        <v>49578</v>
      </c>
      <c r="Z20" s="7">
        <v>52022</v>
      </c>
      <c r="AA20" s="7">
        <v>54901</v>
      </c>
      <c r="AB20" s="1"/>
      <c r="AC20" s="1"/>
    </row>
    <row r="21" spans="1:29" x14ac:dyDescent="0.3">
      <c r="A21" s="103"/>
      <c r="B21" s="14">
        <v>19</v>
      </c>
      <c r="C21" s="1" t="s">
        <v>88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1"/>
      <c r="AC21" s="1"/>
    </row>
    <row r="22" spans="1:29" x14ac:dyDescent="0.3">
      <c r="A22" s="103"/>
      <c r="B22" s="14">
        <v>20</v>
      </c>
      <c r="C22" s="6" t="s">
        <v>87</v>
      </c>
      <c r="D22" s="7">
        <f>(3643082.619*5)/1000</f>
        <v>18215.413095</v>
      </c>
      <c r="E22" s="7">
        <f>(4758606895*5)/1000000</f>
        <v>23793.034475</v>
      </c>
      <c r="F22" s="7">
        <v>34287.396000000001</v>
      </c>
      <c r="G22" s="7">
        <v>34126.453999999998</v>
      </c>
      <c r="H22" s="7">
        <v>45450.692999999999</v>
      </c>
      <c r="I22" s="7">
        <v>49176.508000000002</v>
      </c>
      <c r="J22" s="7">
        <v>50869.879000000001</v>
      </c>
      <c r="K22" s="7">
        <v>52909.114999999998</v>
      </c>
      <c r="L22" s="7">
        <v>56669.877</v>
      </c>
      <c r="M22" s="7">
        <v>65650.448999999993</v>
      </c>
      <c r="N22" s="7">
        <v>75165.013999999996</v>
      </c>
      <c r="O22" s="7">
        <v>75191.115999999995</v>
      </c>
      <c r="P22" s="7">
        <v>73905.406000000003</v>
      </c>
      <c r="Q22" s="7">
        <v>68045.535000000003</v>
      </c>
      <c r="R22" s="7">
        <v>62618.235000000001</v>
      </c>
      <c r="S22" s="7">
        <v>56802.197</v>
      </c>
      <c r="T22" s="7">
        <v>53685.648000000001</v>
      </c>
      <c r="U22" s="7">
        <v>51970.159</v>
      </c>
      <c r="V22" s="7">
        <v>48017.601999999999</v>
      </c>
      <c r="W22" s="7">
        <v>47633.491999999998</v>
      </c>
      <c r="X22" s="7"/>
      <c r="Y22" s="7"/>
      <c r="Z22" s="7"/>
      <c r="AA22" s="7"/>
      <c r="AB22" s="1"/>
      <c r="AC22" s="1"/>
    </row>
    <row r="23" spans="1:29" x14ac:dyDescent="0.3">
      <c r="A23" s="103"/>
      <c r="B23" s="14">
        <v>16</v>
      </c>
      <c r="C23" s="1" t="s">
        <v>20</v>
      </c>
      <c r="D23" s="3">
        <f>((5801997.018*5)/1000)-D18</f>
        <v>2425.562114999997</v>
      </c>
      <c r="E23" s="3">
        <f>((7076736.19*5)/1000)-E18</f>
        <v>3240.927504999996</v>
      </c>
      <c r="F23" s="3">
        <f>2101.563+170.13+102.142+1081.121</f>
        <v>3454.9560000000001</v>
      </c>
      <c r="G23" s="3">
        <f>2326.715+715.203+852.02+516.616</f>
        <v>4410.5540000000001</v>
      </c>
      <c r="H23" s="3">
        <v>2188.4209999999998</v>
      </c>
      <c r="I23" s="3">
        <v>2851.2080000000001</v>
      </c>
      <c r="J23" s="3">
        <v>3610.7669999999998</v>
      </c>
      <c r="K23" s="3">
        <v>4602.0200000000004</v>
      </c>
      <c r="L23" s="3">
        <v>4854.6610000000001</v>
      </c>
      <c r="M23" s="3">
        <v>4899.2550000000001</v>
      </c>
      <c r="N23" s="3">
        <v>6248.2340000000004</v>
      </c>
      <c r="O23" s="3">
        <v>7220.8010000000004</v>
      </c>
      <c r="P23" s="3">
        <v>5611.6009999999997</v>
      </c>
      <c r="Q23" s="3">
        <v>4374.37</v>
      </c>
      <c r="R23" s="3">
        <v>4000.1880000000001</v>
      </c>
      <c r="S23" s="3">
        <v>3275.808</v>
      </c>
      <c r="T23" s="3">
        <v>4986.9070000000002</v>
      </c>
      <c r="U23" s="3">
        <v>4623</v>
      </c>
      <c r="V23" s="3">
        <v>4382.116</v>
      </c>
      <c r="W23" s="3">
        <v>6080.8149999999996</v>
      </c>
      <c r="X23" s="3">
        <v>5780</v>
      </c>
      <c r="Y23" s="3">
        <v>6120</v>
      </c>
      <c r="Z23" s="3">
        <v>6221</v>
      </c>
      <c r="AA23" s="3">
        <v>6289</v>
      </c>
      <c r="AB23" s="1"/>
      <c r="AC23" s="1"/>
    </row>
    <row r="25" spans="1:29" x14ac:dyDescent="0.3">
      <c r="A25" s="9" t="s">
        <v>71</v>
      </c>
      <c r="B25" s="8"/>
      <c r="C25" s="9" t="s">
        <v>26</v>
      </c>
      <c r="D25" s="8">
        <v>98</v>
      </c>
      <c r="E25" s="8">
        <v>99</v>
      </c>
      <c r="F25" s="8">
        <v>2000</v>
      </c>
      <c r="G25" s="8">
        <v>1</v>
      </c>
      <c r="H25" s="8">
        <v>2</v>
      </c>
      <c r="I25" s="8">
        <v>3</v>
      </c>
      <c r="J25" s="8">
        <v>4</v>
      </c>
      <c r="K25" s="8">
        <v>5</v>
      </c>
      <c r="L25" s="8">
        <v>6</v>
      </c>
      <c r="M25" s="8">
        <v>7</v>
      </c>
      <c r="N25" s="8">
        <v>8</v>
      </c>
      <c r="O25" s="8">
        <v>9</v>
      </c>
      <c r="P25" s="8">
        <v>10</v>
      </c>
      <c r="Q25" s="8">
        <v>11</v>
      </c>
      <c r="R25" s="8">
        <v>12</v>
      </c>
      <c r="S25" s="8">
        <v>13</v>
      </c>
      <c r="T25" s="8">
        <v>14</v>
      </c>
      <c r="U25" s="8">
        <v>15</v>
      </c>
      <c r="V25" s="8">
        <v>16</v>
      </c>
      <c r="W25" s="8">
        <v>17</v>
      </c>
      <c r="X25" s="8">
        <v>18</v>
      </c>
      <c r="Y25" s="8">
        <v>19</v>
      </c>
      <c r="Z25" s="8">
        <v>20</v>
      </c>
      <c r="AA25" s="8">
        <v>21</v>
      </c>
      <c r="AB25" s="8" t="s">
        <v>94</v>
      </c>
      <c r="AC25" s="8" t="s">
        <v>116</v>
      </c>
    </row>
    <row r="26" spans="1:29" x14ac:dyDescent="0.3">
      <c r="A26" s="6" t="s">
        <v>65</v>
      </c>
      <c r="B26" s="17" t="s">
        <v>27</v>
      </c>
      <c r="C26" s="6" t="s">
        <v>85</v>
      </c>
      <c r="D26" s="7">
        <f t="shared" ref="D26:AC26" si="1">D4*D5</f>
        <v>3626</v>
      </c>
      <c r="E26" s="7">
        <f t="shared" si="1"/>
        <v>19080</v>
      </c>
      <c r="F26" s="7">
        <f t="shared" si="1"/>
        <v>41106.563458440003</v>
      </c>
      <c r="G26" s="7">
        <f t="shared" si="1"/>
        <v>38320.994024189997</v>
      </c>
      <c r="H26" s="7">
        <f t="shared" si="1"/>
        <v>19195.397735250001</v>
      </c>
      <c r="I26" s="7">
        <f t="shared" si="1"/>
        <v>23355.564288090001</v>
      </c>
      <c r="J26" s="7">
        <f t="shared" si="1"/>
        <v>24951.690717820002</v>
      </c>
      <c r="K26" s="7">
        <f t="shared" si="1"/>
        <v>30749.864278879999</v>
      </c>
      <c r="L26" s="7">
        <f t="shared" si="1"/>
        <v>40988.590585450002</v>
      </c>
      <c r="M26" s="7">
        <f t="shared" si="1"/>
        <v>42758.142073280003</v>
      </c>
      <c r="N26" s="7">
        <f t="shared" si="1"/>
        <v>17229.182000000001</v>
      </c>
      <c r="O26" s="7">
        <f t="shared" si="1"/>
        <v>17886.426000000003</v>
      </c>
      <c r="P26" s="7">
        <f t="shared" si="1"/>
        <v>12299.852000000001</v>
      </c>
      <c r="Q26" s="7">
        <f t="shared" si="1"/>
        <v>4756.7302596</v>
      </c>
      <c r="R26" s="7">
        <f t="shared" si="1"/>
        <v>11036.013553600002</v>
      </c>
      <c r="S26" s="7">
        <f t="shared" si="1"/>
        <v>24633.958825000002</v>
      </c>
      <c r="T26" s="7">
        <f t="shared" si="1"/>
        <v>2566.15</v>
      </c>
      <c r="U26" s="7">
        <f t="shared" si="1"/>
        <v>2295.09</v>
      </c>
      <c r="V26" s="7">
        <f t="shared" si="1"/>
        <v>1319.0734600000001</v>
      </c>
      <c r="W26" s="7">
        <f t="shared" si="1"/>
        <v>3621.4080000000004</v>
      </c>
      <c r="X26" s="7">
        <f t="shared" si="1"/>
        <v>3468.663</v>
      </c>
      <c r="Y26" s="7">
        <f t="shared" si="1"/>
        <v>3065.1171622656002</v>
      </c>
      <c r="Z26" s="7">
        <f t="shared" si="1"/>
        <v>1862.0435620864</v>
      </c>
      <c r="AA26" s="7">
        <f t="shared" si="1"/>
        <v>2129.5611842367998</v>
      </c>
      <c r="AB26" s="7">
        <f t="shared" si="1"/>
        <v>2900.3746717887998</v>
      </c>
      <c r="AC26" s="7">
        <f t="shared" si="1"/>
        <v>2900.3746717887998</v>
      </c>
    </row>
    <row r="27" spans="1:29" x14ac:dyDescent="0.3">
      <c r="A27" s="1" t="s">
        <v>66</v>
      </c>
      <c r="B27" s="2" t="s">
        <v>28</v>
      </c>
      <c r="C27" s="1" t="s">
        <v>47</v>
      </c>
      <c r="D27" s="30">
        <f t="shared" ref="D27:AC27" si="2">D26/D6</f>
        <v>1.8093522418426915</v>
      </c>
      <c r="E27" s="30">
        <f t="shared" si="2"/>
        <v>9.9472827121729264</v>
      </c>
      <c r="F27" s="30">
        <f t="shared" si="2"/>
        <v>11.193186550399554</v>
      </c>
      <c r="G27" s="30">
        <f t="shared" si="2"/>
        <v>9.5118653282364747</v>
      </c>
      <c r="H27" s="30">
        <f t="shared" si="2"/>
        <v>4.1279058145708722</v>
      </c>
      <c r="I27" s="30">
        <f t="shared" si="2"/>
        <v>5.0259694179872207</v>
      </c>
      <c r="J27" s="30">
        <f t="shared" si="2"/>
        <v>10.282835347239565</v>
      </c>
      <c r="K27" s="30">
        <f t="shared" si="2"/>
        <v>10.750456600610208</v>
      </c>
      <c r="L27" s="30">
        <f t="shared" si="2"/>
        <v>15.169711415998213</v>
      </c>
      <c r="M27" s="30">
        <f t="shared" si="2"/>
        <v>15.64546268207668</v>
      </c>
      <c r="N27" s="30">
        <f t="shared" si="2"/>
        <v>6.6487282690489522</v>
      </c>
      <c r="O27" s="30">
        <f t="shared" si="2"/>
        <v>7.6048958273985736</v>
      </c>
      <c r="P27" s="30">
        <f t="shared" si="2"/>
        <v>4.3598485023031266</v>
      </c>
      <c r="Q27" s="30">
        <f t="shared" si="2"/>
        <v>1.8618330602333431</v>
      </c>
      <c r="R27" s="30">
        <f t="shared" si="2"/>
        <v>5.3313663051879798</v>
      </c>
      <c r="S27" s="30">
        <f t="shared" si="2"/>
        <v>14.126693626174742</v>
      </c>
      <c r="T27" s="30">
        <f t="shared" si="2"/>
        <v>1.1605950800157754</v>
      </c>
      <c r="U27" s="30">
        <f t="shared" si="2"/>
        <v>0.91432056694416575</v>
      </c>
      <c r="V27" s="30">
        <f t="shared" si="2"/>
        <v>0.65236076162215628</v>
      </c>
      <c r="W27" s="30">
        <f t="shared" si="2"/>
        <v>1.7228392007611799</v>
      </c>
      <c r="X27" s="30">
        <f t="shared" si="2"/>
        <v>1.5860370370370371</v>
      </c>
      <c r="Y27" s="30">
        <f t="shared" si="2"/>
        <v>1.3109996416875964</v>
      </c>
      <c r="Z27" s="30">
        <f t="shared" si="2"/>
        <v>0.79472623221784033</v>
      </c>
      <c r="AA27" s="30">
        <f t="shared" si="2"/>
        <v>0.9187062917328731</v>
      </c>
      <c r="AB27" s="30">
        <f t="shared" si="2"/>
        <v>1.2039745420459942</v>
      </c>
      <c r="AC27" s="30">
        <f t="shared" si="2"/>
        <v>1.1643414981087112</v>
      </c>
    </row>
    <row r="28" spans="1:29" x14ac:dyDescent="0.3">
      <c r="A28" s="6" t="s">
        <v>67</v>
      </c>
      <c r="B28" s="17" t="s">
        <v>29</v>
      </c>
      <c r="C28" s="6" t="s">
        <v>48</v>
      </c>
      <c r="D28" s="29">
        <f t="shared" ref="D28:AC28" si="3">D26/D7</f>
        <v>8.0266545140844681</v>
      </c>
      <c r="E28" s="29">
        <f t="shared" si="3"/>
        <v>40.024184424645263</v>
      </c>
      <c r="F28" s="29">
        <f t="shared" si="3"/>
        <v>32.38684198622186</v>
      </c>
      <c r="G28" s="29">
        <f t="shared" si="3"/>
        <v>26.326650181181538</v>
      </c>
      <c r="H28" s="29">
        <f t="shared" si="3"/>
        <v>10.66178795242925</v>
      </c>
      <c r="I28" s="29">
        <f t="shared" si="3"/>
        <v>11.371529789518583</v>
      </c>
      <c r="J28" s="29">
        <f t="shared" si="3"/>
        <v>61.083792269984315</v>
      </c>
      <c r="K28" s="29">
        <f t="shared" si="3"/>
        <v>33.381965494163829</v>
      </c>
      <c r="L28" s="29">
        <f t="shared" si="3"/>
        <v>43.944801314690551</v>
      </c>
      <c r="M28" s="29">
        <f t="shared" si="3"/>
        <v>57.457878391593269</v>
      </c>
      <c r="N28" s="29">
        <f t="shared" si="3"/>
        <v>38.788826126403997</v>
      </c>
      <c r="O28" s="29">
        <f t="shared" si="3"/>
        <v>69.042765659318405</v>
      </c>
      <c r="P28" s="29">
        <f t="shared" si="3"/>
        <v>30.177539298744058</v>
      </c>
      <c r="Q28" s="29">
        <f t="shared" si="3"/>
        <v>-4.1633744585205656</v>
      </c>
      <c r="R28" s="29">
        <f t="shared" si="3"/>
        <v>-21.965887936689917</v>
      </c>
      <c r="S28" s="29">
        <f t="shared" si="3"/>
        <v>-31.995436966909597</v>
      </c>
      <c r="T28" s="29">
        <f t="shared" si="3"/>
        <v>-13.558359354773945</v>
      </c>
      <c r="U28" s="29">
        <f t="shared" si="3"/>
        <v>4.8221950947907635</v>
      </c>
      <c r="V28" s="29">
        <f t="shared" si="3"/>
        <v>0.96506460231895252</v>
      </c>
      <c r="W28" s="29">
        <f t="shared" si="3"/>
        <v>3.6367551065496397</v>
      </c>
      <c r="X28" s="29">
        <f t="shared" si="3"/>
        <v>2.8501750205423173</v>
      </c>
      <c r="Y28" s="29">
        <f t="shared" si="3"/>
        <v>2.3687149631109738</v>
      </c>
      <c r="Z28" s="29">
        <f t="shared" si="3"/>
        <v>1.3601486940002923</v>
      </c>
      <c r="AA28" s="29">
        <f t="shared" si="3"/>
        <v>1.4954783597168537</v>
      </c>
      <c r="AB28" s="29">
        <f t="shared" si="3"/>
        <v>1.8919599946437051</v>
      </c>
      <c r="AC28" s="29">
        <f t="shared" si="3"/>
        <v>1.7472136577040962</v>
      </c>
    </row>
    <row r="29" spans="1:29" x14ac:dyDescent="0.3">
      <c r="A29" s="15" t="s">
        <v>68</v>
      </c>
      <c r="B29" s="2" t="s">
        <v>30</v>
      </c>
      <c r="C29" s="1" t="s">
        <v>49</v>
      </c>
      <c r="D29" s="3">
        <f t="shared" ref="D29:AA29" si="4">D15-D14</f>
        <v>7388.2241099999992</v>
      </c>
      <c r="E29" s="3">
        <f t="shared" si="4"/>
        <v>9917.7202700000016</v>
      </c>
      <c r="F29" s="3">
        <f t="shared" si="4"/>
        <v>22213.595000000001</v>
      </c>
      <c r="G29" s="3">
        <f t="shared" si="4"/>
        <v>23326.159</v>
      </c>
      <c r="H29" s="3">
        <f t="shared" si="4"/>
        <v>11792.486999999999</v>
      </c>
      <c r="I29" s="3">
        <f t="shared" si="4"/>
        <v>9823.7000000000007</v>
      </c>
      <c r="J29" s="3">
        <f t="shared" si="4"/>
        <v>15491.375</v>
      </c>
      <c r="K29" s="3">
        <f t="shared" si="4"/>
        <v>16884.659</v>
      </c>
      <c r="L29" s="3">
        <f t="shared" si="4"/>
        <v>21163.949000000001</v>
      </c>
      <c r="M29" s="3">
        <f t="shared" si="4"/>
        <v>25323.898000000001</v>
      </c>
      <c r="N29" s="3">
        <f t="shared" si="4"/>
        <v>18783.326999999997</v>
      </c>
      <c r="O29" s="3">
        <f t="shared" si="4"/>
        <v>18430.200999999997</v>
      </c>
      <c r="P29" s="3">
        <f t="shared" si="4"/>
        <v>16184.942999999999</v>
      </c>
      <c r="Q29" s="3">
        <f t="shared" si="4"/>
        <v>13967.647999999999</v>
      </c>
      <c r="R29" s="3">
        <f t="shared" si="4"/>
        <v>12300.699000000001</v>
      </c>
      <c r="S29" s="3">
        <f t="shared" si="4"/>
        <v>7677.4970000000012</v>
      </c>
      <c r="T29" s="3">
        <f t="shared" si="4"/>
        <v>4310.9850000000006</v>
      </c>
      <c r="U29" s="3">
        <f t="shared" si="4"/>
        <v>3685</v>
      </c>
      <c r="V29" s="3">
        <f t="shared" si="4"/>
        <v>2518</v>
      </c>
      <c r="W29" s="3">
        <f t="shared" si="4"/>
        <v>117</v>
      </c>
      <c r="X29" s="3">
        <f t="shared" si="4"/>
        <v>-884</v>
      </c>
      <c r="Y29" s="3">
        <f t="shared" si="4"/>
        <v>-2886</v>
      </c>
      <c r="Z29" s="3">
        <f t="shared" si="4"/>
        <v>-3534</v>
      </c>
      <c r="AA29" s="3">
        <f t="shared" si="4"/>
        <v>-3290</v>
      </c>
      <c r="AB29" s="1"/>
      <c r="AC29" s="1"/>
    </row>
    <row r="30" spans="1:29" x14ac:dyDescent="0.3">
      <c r="A30" s="6" t="s">
        <v>69</v>
      </c>
      <c r="B30" s="17" t="s">
        <v>31</v>
      </c>
      <c r="C30" s="6" t="s">
        <v>50</v>
      </c>
      <c r="D30" s="7">
        <f t="shared" ref="D30:AA30" si="5">D26+D29+D16+D17</f>
        <v>11896.89215</v>
      </c>
      <c r="E30" s="7">
        <f t="shared" si="5"/>
        <v>30321.048195000003</v>
      </c>
      <c r="F30" s="7">
        <f t="shared" si="5"/>
        <v>63320.158458440004</v>
      </c>
      <c r="G30" s="7">
        <f t="shared" si="5"/>
        <v>61647.153024189996</v>
      </c>
      <c r="H30" s="7">
        <f t="shared" si="5"/>
        <v>32343.154735250002</v>
      </c>
      <c r="I30" s="7">
        <f t="shared" si="5"/>
        <v>34672.727288090005</v>
      </c>
      <c r="J30" s="7">
        <f t="shared" si="5"/>
        <v>41338.302717820006</v>
      </c>
      <c r="K30" s="7">
        <f t="shared" si="5"/>
        <v>48989.049278879997</v>
      </c>
      <c r="L30" s="7">
        <f t="shared" si="5"/>
        <v>63378.587585450005</v>
      </c>
      <c r="M30" s="7">
        <f t="shared" si="5"/>
        <v>69363.613073280008</v>
      </c>
      <c r="N30" s="7">
        <f t="shared" si="5"/>
        <v>37300.252999999997</v>
      </c>
      <c r="O30" s="7">
        <f t="shared" si="5"/>
        <v>37660.932000000001</v>
      </c>
      <c r="P30" s="7">
        <f t="shared" si="5"/>
        <v>29982.295999999998</v>
      </c>
      <c r="Q30" s="7">
        <f t="shared" si="5"/>
        <v>19443.168259599999</v>
      </c>
      <c r="R30" s="7">
        <f t="shared" si="5"/>
        <v>24135.901553600001</v>
      </c>
      <c r="S30" s="7">
        <f t="shared" si="5"/>
        <v>33175.23182500001</v>
      </c>
      <c r="T30" s="7">
        <f t="shared" si="5"/>
        <v>7651.5060000000003</v>
      </c>
      <c r="U30" s="7">
        <f t="shared" si="5"/>
        <v>7037.4920000000002</v>
      </c>
      <c r="V30" s="7">
        <f t="shared" si="5"/>
        <v>4720.1384600000001</v>
      </c>
      <c r="W30" s="7">
        <f t="shared" si="5"/>
        <v>4837.3290000000006</v>
      </c>
      <c r="X30" s="7">
        <f t="shared" si="5"/>
        <v>3767.663</v>
      </c>
      <c r="Y30" s="7">
        <f t="shared" si="5"/>
        <v>1441.1171622656002</v>
      </c>
      <c r="Z30" s="7">
        <f t="shared" si="5"/>
        <v>-506.95643791359998</v>
      </c>
      <c r="AA30" s="7">
        <f t="shared" si="5"/>
        <v>-91.438815763200182</v>
      </c>
      <c r="AB30" s="1"/>
      <c r="AC30" s="1"/>
    </row>
    <row r="31" spans="1:29" x14ac:dyDescent="0.3">
      <c r="A31" s="1" t="s">
        <v>70</v>
      </c>
      <c r="B31" s="2" t="s">
        <v>32</v>
      </c>
      <c r="C31" s="1" t="s">
        <v>51</v>
      </c>
      <c r="D31" s="30">
        <f t="shared" ref="D31:AA31" si="6">D30/D7</f>
        <v>26.3354228018129</v>
      </c>
      <c r="E31" s="30">
        <f t="shared" si="6"/>
        <v>63.604571535913919</v>
      </c>
      <c r="F31" s="30">
        <f t="shared" si="6"/>
        <v>49.888382632846138</v>
      </c>
      <c r="G31" s="30">
        <f t="shared" si="6"/>
        <v>42.351798894076907</v>
      </c>
      <c r="H31" s="30">
        <f t="shared" si="6"/>
        <v>17.964507026941913</v>
      </c>
      <c r="I31" s="30">
        <f t="shared" si="6"/>
        <v>16.881713769657473</v>
      </c>
      <c r="J31" s="30">
        <f t="shared" si="6"/>
        <v>101.19956697786691</v>
      </c>
      <c r="K31" s="30">
        <f t="shared" si="6"/>
        <v>53.182373027339672</v>
      </c>
      <c r="L31" s="30">
        <f t="shared" si="6"/>
        <v>67.949626939282481</v>
      </c>
      <c r="M31" s="30">
        <f t="shared" si="6"/>
        <v>93.209991162282577</v>
      </c>
      <c r="N31" s="30">
        <f t="shared" si="6"/>
        <v>83.975723751010278</v>
      </c>
      <c r="O31" s="30">
        <f t="shared" si="6"/>
        <v>145.37364270467029</v>
      </c>
      <c r="P31" s="30">
        <f t="shared" si="6"/>
        <v>73.561203484934353</v>
      </c>
      <c r="Q31" s="30">
        <f t="shared" si="6"/>
        <v>-17.017822265907405</v>
      </c>
      <c r="R31" s="30">
        <f t="shared" si="6"/>
        <v>-48.039675395688036</v>
      </c>
      <c r="S31" s="30">
        <f t="shared" si="6"/>
        <v>-43.089137489430748</v>
      </c>
      <c r="T31" s="30">
        <f t="shared" si="6"/>
        <v>-40.427047504319297</v>
      </c>
      <c r="U31" s="30">
        <f t="shared" si="6"/>
        <v>14.786417701279357</v>
      </c>
      <c r="V31" s="30">
        <f t="shared" si="6"/>
        <v>3.4533622909752828</v>
      </c>
      <c r="W31" s="30">
        <f t="shared" si="6"/>
        <v>4.8578290385426506</v>
      </c>
      <c r="X31" s="30">
        <f t="shared" si="6"/>
        <v>3.0958611339359079</v>
      </c>
      <c r="Y31" s="30">
        <f t="shared" si="6"/>
        <v>1.1136917791851624</v>
      </c>
      <c r="Z31" s="30">
        <f t="shared" si="6"/>
        <v>-0.37031149591935719</v>
      </c>
      <c r="AA31" s="30">
        <f t="shared" si="6"/>
        <v>-6.4212651519101258E-2</v>
      </c>
      <c r="AB31" s="1"/>
      <c r="AC31" s="1"/>
    </row>
    <row r="32" spans="1:29" x14ac:dyDescent="0.3">
      <c r="A32" s="18" t="s">
        <v>72</v>
      </c>
      <c r="B32" s="17" t="s">
        <v>33</v>
      </c>
      <c r="C32" s="6" t="s">
        <v>109</v>
      </c>
      <c r="D32" s="27">
        <f t="shared" ref="D32:AA32" si="7">D7/D6</f>
        <v>0.22541797939201183</v>
      </c>
      <c r="E32" s="27">
        <f t="shared" si="7"/>
        <v>0.24853180283788104</v>
      </c>
      <c r="F32" s="27">
        <f t="shared" si="7"/>
        <v>0.34560907652439238</v>
      </c>
      <c r="G32" s="27">
        <f t="shared" si="7"/>
        <v>0.36130177074467373</v>
      </c>
      <c r="H32" s="27">
        <f t="shared" si="7"/>
        <v>0.38716825292237628</v>
      </c>
      <c r="I32" s="27">
        <f t="shared" si="7"/>
        <v>0.44197830116223941</v>
      </c>
      <c r="J32" s="27">
        <f t="shared" si="7"/>
        <v>0.16833983230429525</v>
      </c>
      <c r="K32" s="27">
        <f t="shared" si="7"/>
        <v>0.32204384737290892</v>
      </c>
      <c r="L32" s="27">
        <f t="shared" si="7"/>
        <v>0.34519922635142386</v>
      </c>
      <c r="M32" s="27">
        <f t="shared" si="7"/>
        <v>0.27229447240373195</v>
      </c>
      <c r="N32" s="27">
        <f t="shared" si="7"/>
        <v>0.17140833928261331</v>
      </c>
      <c r="O32" s="27">
        <f t="shared" si="7"/>
        <v>0.11014761292912045</v>
      </c>
      <c r="P32" s="27">
        <f t="shared" si="7"/>
        <v>0.14447329383428478</v>
      </c>
      <c r="Q32" s="27">
        <f t="shared" si="7"/>
        <v>-0.44719327525848734</v>
      </c>
      <c r="R32" s="27">
        <f t="shared" si="7"/>
        <v>-0.24271116744991342</v>
      </c>
      <c r="S32" s="27">
        <f t="shared" si="7"/>
        <v>-0.44152213457140427</v>
      </c>
      <c r="T32" s="27">
        <f t="shared" si="7"/>
        <v>-8.559996454195809E-2</v>
      </c>
      <c r="U32" s="27">
        <f t="shared" si="7"/>
        <v>0.18960671415635422</v>
      </c>
      <c r="V32" s="27">
        <f t="shared" si="7"/>
        <v>0.67597626112759646</v>
      </c>
      <c r="W32" s="27">
        <f t="shared" si="7"/>
        <v>0.47372978116079922</v>
      </c>
      <c r="X32" s="27">
        <f t="shared" si="7"/>
        <v>0.55647005029721075</v>
      </c>
      <c r="Y32" s="27">
        <f t="shared" si="7"/>
        <v>0.55346449957228405</v>
      </c>
      <c r="Z32" s="27">
        <f t="shared" si="7"/>
        <v>0.58429364063166878</v>
      </c>
      <c r="AA32" s="27">
        <f t="shared" si="7"/>
        <v>0.61432269197584122</v>
      </c>
      <c r="AB32" s="1"/>
      <c r="AC32" s="1"/>
    </row>
    <row r="33" spans="1:29" x14ac:dyDescent="0.3">
      <c r="A33" s="16" t="s">
        <v>73</v>
      </c>
      <c r="B33" s="2" t="s">
        <v>34</v>
      </c>
      <c r="C33" s="1" t="s">
        <v>110</v>
      </c>
      <c r="D33" s="28">
        <f t="shared" ref="D33:AA33" si="8">D8/D6</f>
        <v>0.16131516934298223</v>
      </c>
      <c r="E33" s="28">
        <f t="shared" si="8"/>
        <v>0.18183153680828398</v>
      </c>
      <c r="F33" s="28">
        <f t="shared" si="8"/>
        <v>0.3212159104121674</v>
      </c>
      <c r="G33" s="28">
        <f t="shared" si="8"/>
        <v>0.34146339379615087</v>
      </c>
      <c r="H33" s="28">
        <f t="shared" si="8"/>
        <v>0.34974497618788536</v>
      </c>
      <c r="I33" s="28">
        <f t="shared" si="8"/>
        <v>0.3982819368376474</v>
      </c>
      <c r="J33" s="28">
        <f t="shared" si="8"/>
        <v>8.0896322250053374E-2</v>
      </c>
      <c r="K33" s="28">
        <f t="shared" si="8"/>
        <v>0.27317223076629943</v>
      </c>
      <c r="L33" s="28">
        <f t="shared" si="8"/>
        <v>0.30393648857402772</v>
      </c>
      <c r="M33" s="28">
        <f t="shared" si="8"/>
        <v>0.23025333139159193</v>
      </c>
      <c r="N33" s="28">
        <f t="shared" si="8"/>
        <v>0.1278623111505586</v>
      </c>
      <c r="O33" s="28">
        <f t="shared" si="8"/>
        <v>6.5616281215427799E-2</v>
      </c>
      <c r="P33" s="28">
        <f t="shared" si="8"/>
        <v>0.12527625998479353</v>
      </c>
      <c r="Q33" s="28">
        <f t="shared" si="8"/>
        <v>-0.47336179146913493</v>
      </c>
      <c r="R33" s="28">
        <f t="shared" si="8"/>
        <v>-0.27558530948553056</v>
      </c>
      <c r="S33" s="28">
        <f t="shared" si="8"/>
        <v>-0.48058823664344519</v>
      </c>
      <c r="T33" s="28">
        <f t="shared" si="8"/>
        <v>-0.11524315894971833</v>
      </c>
      <c r="U33" s="28">
        <f t="shared" si="8"/>
        <v>0.16306536757233306</v>
      </c>
      <c r="V33" s="28">
        <f t="shared" si="8"/>
        <v>0.6513353115727003</v>
      </c>
      <c r="W33" s="28">
        <f t="shared" si="8"/>
        <v>0.44823977164605139</v>
      </c>
      <c r="X33" s="28">
        <f t="shared" si="8"/>
        <v>0.52994970278920894</v>
      </c>
      <c r="Y33" s="28">
        <f t="shared" si="8"/>
        <v>0.5</v>
      </c>
      <c r="Z33" s="28">
        <f t="shared" si="8"/>
        <v>0.5253947930004268</v>
      </c>
      <c r="AA33" s="28">
        <f t="shared" si="8"/>
        <v>0.46678170836928384</v>
      </c>
      <c r="AB33" s="1"/>
      <c r="AC33" s="1"/>
    </row>
    <row r="34" spans="1:29" x14ac:dyDescent="0.3">
      <c r="A34" s="18" t="s">
        <v>74</v>
      </c>
      <c r="B34" s="17" t="s">
        <v>35</v>
      </c>
      <c r="C34" s="6" t="s">
        <v>54</v>
      </c>
      <c r="D34" s="27">
        <f t="shared" ref="D34:AA34" si="9">D11/D10</f>
        <v>0.15833249653470649</v>
      </c>
      <c r="E34" s="27">
        <f t="shared" si="9"/>
        <v>0.11137338749262055</v>
      </c>
      <c r="F34" s="27">
        <f t="shared" si="9"/>
        <v>6.8199153802330367E-2</v>
      </c>
      <c r="G34" s="27">
        <f t="shared" si="9"/>
        <v>0.11323954492711831</v>
      </c>
      <c r="H34" s="27">
        <f t="shared" si="9"/>
        <v>9.2477431291935377E-2</v>
      </c>
      <c r="I34" s="27">
        <f t="shared" si="9"/>
        <v>7.0738078832727411E-2</v>
      </c>
      <c r="J34" s="27">
        <f t="shared" si="9"/>
        <v>0.19933894106362865</v>
      </c>
      <c r="K34" s="27">
        <f t="shared" si="9"/>
        <v>7.7760103034748632E-2</v>
      </c>
      <c r="L34" s="27">
        <f t="shared" si="9"/>
        <v>8.8473565383268754E-2</v>
      </c>
      <c r="M34" s="27">
        <f t="shared" si="9"/>
        <v>0.106136736140979</v>
      </c>
      <c r="N34" s="27">
        <f t="shared" si="9"/>
        <v>0.12865450909186599</v>
      </c>
      <c r="O34" s="27">
        <f t="shared" si="9"/>
        <v>0.22209739475296003</v>
      </c>
      <c r="P34" s="27">
        <f t="shared" si="9"/>
        <v>0.12953112592918575</v>
      </c>
      <c r="Q34" s="27">
        <f t="shared" si="9"/>
        <v>-5.4727834273473004E-2</v>
      </c>
      <c r="R34" s="27">
        <f t="shared" si="9"/>
        <v>0.15080890538033395</v>
      </c>
      <c r="S34" s="27">
        <f t="shared" si="9"/>
        <v>0.14231246838628847</v>
      </c>
      <c r="T34" s="27">
        <f t="shared" si="9"/>
        <v>-0.58242265217265943</v>
      </c>
      <c r="U34" s="27">
        <f t="shared" si="9"/>
        <v>0.24768692110948326</v>
      </c>
      <c r="V34" s="27">
        <f t="shared" si="9"/>
        <v>1.357721843003413</v>
      </c>
      <c r="W34" s="27">
        <f t="shared" si="9"/>
        <v>9.4508165065888841E-2</v>
      </c>
      <c r="X34" s="27">
        <f t="shared" si="9"/>
        <v>0.24722321748477247</v>
      </c>
      <c r="Y34" s="27">
        <f t="shared" si="9"/>
        <v>0.38146252809794828</v>
      </c>
      <c r="Z34" s="27">
        <f t="shared" si="9"/>
        <v>0.3960464914060462</v>
      </c>
      <c r="AA34" s="27">
        <f t="shared" si="9"/>
        <v>0.97156847259516665</v>
      </c>
      <c r="AB34" s="1"/>
      <c r="AC34" s="1"/>
    </row>
    <row r="35" spans="1:29" x14ac:dyDescent="0.3">
      <c r="A35" s="16" t="s">
        <v>75</v>
      </c>
      <c r="B35" s="2" t="s">
        <v>36</v>
      </c>
      <c r="C35" s="1" t="s">
        <v>108</v>
      </c>
      <c r="D35" s="28">
        <f t="shared" ref="D35:AA35" si="10">D12/D6</f>
        <v>0.1352404300167615</v>
      </c>
      <c r="E35" s="28">
        <f t="shared" si="10"/>
        <v>0.22492111402069417</v>
      </c>
      <c r="F35" s="28">
        <f t="shared" si="10"/>
        <v>0.29438581137509079</v>
      </c>
      <c r="G35" s="28">
        <f t="shared" si="10"/>
        <v>0.1282321073224322</v>
      </c>
      <c r="H35" s="28">
        <f t="shared" si="10"/>
        <v>5.8647971658573023E-2</v>
      </c>
      <c r="I35" s="28">
        <f t="shared" si="10"/>
        <v>9.4180367150515268E-2</v>
      </c>
      <c r="J35" s="28">
        <f t="shared" si="10"/>
        <v>0.2602613270428899</v>
      </c>
      <c r="K35" s="28">
        <f t="shared" si="10"/>
        <v>0.29384256577298218</v>
      </c>
      <c r="L35" s="28">
        <f t="shared" si="10"/>
        <v>0.31054714245215215</v>
      </c>
      <c r="M35" s="28">
        <f t="shared" si="10"/>
        <v>0.22636631146947134</v>
      </c>
      <c r="N35" s="28">
        <f t="shared" si="10"/>
        <v>9.956624925232023E-2</v>
      </c>
      <c r="O35" s="28">
        <f t="shared" si="10"/>
        <v>0.10599746084332995</v>
      </c>
      <c r="P35" s="28">
        <f t="shared" si="10"/>
        <v>0.14311959775482824</v>
      </c>
      <c r="Q35" s="28">
        <f t="shared" si="10"/>
        <v>-0.29855600924354486</v>
      </c>
      <c r="R35" s="28">
        <f t="shared" si="10"/>
        <v>-0.5493725652362107</v>
      </c>
      <c r="S35" s="28">
        <f t="shared" si="10"/>
        <v>-0.37088682798597078</v>
      </c>
      <c r="T35" s="28">
        <f t="shared" si="10"/>
        <v>-5.2716701099561121E-2</v>
      </c>
      <c r="U35" s="28">
        <f t="shared" si="10"/>
        <v>0.14380005410015859</v>
      </c>
      <c r="V35" s="28">
        <f t="shared" si="10"/>
        <v>-1.0534124629080118E-2</v>
      </c>
      <c r="W35" s="28">
        <f t="shared" si="10"/>
        <v>8.8672692673644138E-2</v>
      </c>
      <c r="X35" s="28">
        <f t="shared" si="10"/>
        <v>0.13767718335619572</v>
      </c>
      <c r="Y35" s="28">
        <f t="shared" si="10"/>
        <v>0.12917023096663816</v>
      </c>
      <c r="Z35" s="28">
        <f t="shared" si="10"/>
        <v>7.8109261630388394E-2</v>
      </c>
      <c r="AA35" s="28">
        <f t="shared" si="10"/>
        <v>5.0422778257118203E-2</v>
      </c>
      <c r="AB35" s="1"/>
      <c r="AC35" s="1"/>
    </row>
    <row r="36" spans="1:29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13.37878208179642</v>
      </c>
      <c r="E36" s="29">
        <f t="shared" ref="E36:AC36" si="11">IF(E26/E12&lt;0,0,E26/E12)</f>
        <v>44.225651093199339</v>
      </c>
      <c r="F36" s="29">
        <f t="shared" si="11"/>
        <v>38.022167230532013</v>
      </c>
      <c r="G36" s="29">
        <f t="shared" si="11"/>
        <v>74.176939978997936</v>
      </c>
      <c r="H36" s="29">
        <f t="shared" si="11"/>
        <v>70.384459987841097</v>
      </c>
      <c r="I36" s="29">
        <f t="shared" si="11"/>
        <v>53.36536233666321</v>
      </c>
      <c r="J36" s="29">
        <f t="shared" si="11"/>
        <v>39.509655407024802</v>
      </c>
      <c r="K36" s="29">
        <f t="shared" si="11"/>
        <v>36.58577024853448</v>
      </c>
      <c r="L36" s="29">
        <f t="shared" si="11"/>
        <v>48.848336829682793</v>
      </c>
      <c r="M36" s="29">
        <f t="shared" si="11"/>
        <v>69.115685017408993</v>
      </c>
      <c r="N36" s="29">
        <f t="shared" si="11"/>
        <v>66.776928115467939</v>
      </c>
      <c r="O36" s="29">
        <f t="shared" si="11"/>
        <v>71.746018884726169</v>
      </c>
      <c r="P36" s="29">
        <f t="shared" si="11"/>
        <v>30.462973420116704</v>
      </c>
      <c r="Q36" s="29">
        <f t="shared" si="11"/>
        <v>0</v>
      </c>
      <c r="R36" s="29">
        <f t="shared" si="11"/>
        <v>0</v>
      </c>
      <c r="S36" s="29">
        <f t="shared" si="11"/>
        <v>0</v>
      </c>
      <c r="T36" s="29">
        <f t="shared" si="11"/>
        <v>0</v>
      </c>
      <c r="U36" s="29">
        <f t="shared" si="11"/>
        <v>6.3582769329650572</v>
      </c>
      <c r="V36" s="29">
        <f t="shared" si="11"/>
        <v>0</v>
      </c>
      <c r="W36" s="29">
        <f t="shared" si="11"/>
        <v>19.429196845324324</v>
      </c>
      <c r="X36" s="29">
        <f t="shared" si="11"/>
        <v>11.519970109598139</v>
      </c>
      <c r="Y36" s="29">
        <f t="shared" si="11"/>
        <v>10.149394577038411</v>
      </c>
      <c r="Z36" s="29">
        <f t="shared" si="11"/>
        <v>10.174545446076172</v>
      </c>
      <c r="AA36" s="29">
        <f t="shared" si="11"/>
        <v>18.220064889089663</v>
      </c>
      <c r="AB36" s="29">
        <f t="shared" si="11"/>
        <v>9.9188628015074709</v>
      </c>
      <c r="AC36" s="29">
        <f t="shared" si="11"/>
        <v>6.540624823626195</v>
      </c>
    </row>
    <row r="37" spans="1:29" x14ac:dyDescent="0.3">
      <c r="A37" s="16" t="s">
        <v>77</v>
      </c>
      <c r="B37" s="2" t="s">
        <v>38</v>
      </c>
      <c r="C37" s="1" t="s">
        <v>57</v>
      </c>
      <c r="D37" s="30">
        <f t="shared" ref="D37:AA37" si="12">D26/D23</f>
        <v>1.4949112115399297</v>
      </c>
      <c r="E37" s="30">
        <f t="shared" si="12"/>
        <v>5.8872035769279032</v>
      </c>
      <c r="F37" s="30">
        <f t="shared" si="12"/>
        <v>11.897854403482997</v>
      </c>
      <c r="G37" s="30">
        <f t="shared" si="12"/>
        <v>8.6884763284136177</v>
      </c>
      <c r="H37" s="30">
        <f t="shared" si="12"/>
        <v>8.7713459774193367</v>
      </c>
      <c r="I37" s="30">
        <f t="shared" si="12"/>
        <v>8.1914628073749789</v>
      </c>
      <c r="J37" s="30">
        <f t="shared" si="12"/>
        <v>6.910357471922171</v>
      </c>
      <c r="K37" s="30">
        <f t="shared" si="12"/>
        <v>6.6818189140594777</v>
      </c>
      <c r="L37" s="30">
        <f t="shared" si="12"/>
        <v>8.4431416705409497</v>
      </c>
      <c r="M37" s="30">
        <f t="shared" si="12"/>
        <v>8.7274783764633614</v>
      </c>
      <c r="N37" s="30">
        <f t="shared" si="12"/>
        <v>2.7574482645816403</v>
      </c>
      <c r="O37" s="30">
        <f t="shared" si="12"/>
        <v>2.4770695107094078</v>
      </c>
      <c r="P37" s="30">
        <f t="shared" si="12"/>
        <v>2.1918614669859817</v>
      </c>
      <c r="Q37" s="30">
        <f t="shared" si="12"/>
        <v>1.0874092176930621</v>
      </c>
      <c r="R37" s="30">
        <f t="shared" si="12"/>
        <v>2.7588737213350978</v>
      </c>
      <c r="S37" s="30">
        <f t="shared" si="12"/>
        <v>7.5199641813561726</v>
      </c>
      <c r="T37" s="30">
        <f t="shared" si="12"/>
        <v>0.5145774725696709</v>
      </c>
      <c r="U37" s="30">
        <f t="shared" si="12"/>
        <v>0.49645035691109674</v>
      </c>
      <c r="V37" s="30">
        <f t="shared" si="12"/>
        <v>0.30101290335536535</v>
      </c>
      <c r="W37" s="30">
        <f t="shared" si="12"/>
        <v>0.59554648513398301</v>
      </c>
      <c r="X37" s="30">
        <f t="shared" si="12"/>
        <v>0.60011470588235294</v>
      </c>
      <c r="Y37" s="30">
        <f t="shared" si="12"/>
        <v>0.50083613762509804</v>
      </c>
      <c r="Z37" s="30">
        <f t="shared" si="12"/>
        <v>0.29931579522366181</v>
      </c>
      <c r="AA37" s="30">
        <f t="shared" si="12"/>
        <v>0.33861682051785652</v>
      </c>
      <c r="AB37" s="30"/>
      <c r="AC37" s="30"/>
    </row>
    <row r="38" spans="1:29" x14ac:dyDescent="0.3">
      <c r="A38" s="18" t="s">
        <v>78</v>
      </c>
      <c r="B38" s="17" t="s">
        <v>39</v>
      </c>
      <c r="C38" s="6" t="s">
        <v>106</v>
      </c>
      <c r="D38" s="55">
        <f t="shared" ref="D38:Z38" si="13">D8/D23</f>
        <v>0.13328076737379296</v>
      </c>
      <c r="E38" s="55">
        <f t="shared" si="13"/>
        <v>0.10761524577822992</v>
      </c>
      <c r="F38" s="55">
        <f t="shared" si="13"/>
        <v>0.34143808083228833</v>
      </c>
      <c r="G38" s="55">
        <f t="shared" si="13"/>
        <v>0.31190481694589828</v>
      </c>
      <c r="H38" s="55">
        <f t="shared" si="13"/>
        <v>0.74316961864284803</v>
      </c>
      <c r="I38" s="55">
        <f t="shared" si="13"/>
        <v>0.64913082454875271</v>
      </c>
      <c r="J38" s="55">
        <f t="shared" si="13"/>
        <v>5.436462668457976E-2</v>
      </c>
      <c r="K38" s="55">
        <f t="shared" si="13"/>
        <v>0.16978696311619679</v>
      </c>
      <c r="L38" s="55">
        <f t="shared" si="13"/>
        <v>0.16916464404002668</v>
      </c>
      <c r="M38" s="55">
        <f t="shared" si="13"/>
        <v>0.12844177329002063</v>
      </c>
      <c r="N38" s="55">
        <f t="shared" si="13"/>
        <v>5.3028743801848646E-2</v>
      </c>
      <c r="O38" s="55">
        <f t="shared" si="13"/>
        <v>2.1372559637081814E-2</v>
      </c>
      <c r="P38" s="55">
        <f t="shared" si="13"/>
        <v>6.2981134973780217E-2</v>
      </c>
      <c r="Q38" s="55">
        <f t="shared" si="13"/>
        <v>-0.27646838287570552</v>
      </c>
      <c r="R38" s="55">
        <f t="shared" si="13"/>
        <v>-0.14260979733952503</v>
      </c>
      <c r="S38" s="55">
        <f t="shared" si="13"/>
        <v>-0.25582818040617766</v>
      </c>
      <c r="T38" s="55">
        <f t="shared" si="13"/>
        <v>-5.1095799460467176E-2</v>
      </c>
      <c r="U38" s="55">
        <f t="shared" si="13"/>
        <v>8.853990914990266E-2</v>
      </c>
      <c r="V38" s="55">
        <f t="shared" si="13"/>
        <v>0.30053973924925764</v>
      </c>
      <c r="W38" s="55">
        <f t="shared" si="13"/>
        <v>0.15494633531853874</v>
      </c>
      <c r="X38" s="55">
        <f t="shared" si="13"/>
        <v>0.2005190311418685</v>
      </c>
      <c r="Y38" s="55">
        <f t="shared" si="13"/>
        <v>0.19101307189542482</v>
      </c>
      <c r="Z38" s="55">
        <f t="shared" si="13"/>
        <v>0.19787815463751809</v>
      </c>
      <c r="AA38" s="55">
        <f t="shared" ref="AA38" si="14">AA8/AA23</f>
        <v>0.17204643027508348</v>
      </c>
      <c r="AB38" s="1"/>
      <c r="AC38" s="1"/>
    </row>
    <row r="39" spans="1:29" x14ac:dyDescent="0.3">
      <c r="A39" s="16" t="s">
        <v>79</v>
      </c>
      <c r="B39" s="2" t="s">
        <v>40</v>
      </c>
      <c r="C39" s="1" t="s">
        <v>107</v>
      </c>
      <c r="D39" s="56">
        <f t="shared" ref="D39:Z39" si="15">D12/D23</f>
        <v>0.11173746626562904</v>
      </c>
      <c r="E39" s="56">
        <f t="shared" si="15"/>
        <v>0.13311739751488225</v>
      </c>
      <c r="F39" s="56">
        <f t="shared" si="15"/>
        <v>0.31291889100758447</v>
      </c>
      <c r="G39" s="56">
        <f t="shared" si="15"/>
        <v>0.11713177074807382</v>
      </c>
      <c r="H39" s="56">
        <f t="shared" si="15"/>
        <v>0.12462049121261404</v>
      </c>
      <c r="I39" s="56">
        <f t="shared" si="15"/>
        <v>0.15349774551698789</v>
      </c>
      <c r="J39" s="56">
        <f t="shared" si="15"/>
        <v>0.17490300537254275</v>
      </c>
      <c r="K39" s="56">
        <f t="shared" si="15"/>
        <v>0.18263436490932242</v>
      </c>
      <c r="L39" s="56">
        <f t="shared" si="15"/>
        <v>0.17284399466821679</v>
      </c>
      <c r="M39" s="56">
        <f t="shared" si="15"/>
        <v>0.12627348443794004</v>
      </c>
      <c r="N39" s="56">
        <f t="shared" si="15"/>
        <v>4.1293427870979227E-2</v>
      </c>
      <c r="O39" s="56">
        <f t="shared" si="15"/>
        <v>3.4525532555183279E-2</v>
      </c>
      <c r="P39" s="56">
        <f t="shared" si="15"/>
        <v>7.1951658715578681E-2</v>
      </c>
      <c r="Q39" s="56">
        <f t="shared" si="15"/>
        <v>-0.1743725382169318</v>
      </c>
      <c r="R39" s="56">
        <f t="shared" si="15"/>
        <v>-0.28428913841049469</v>
      </c>
      <c r="S39" s="56">
        <f t="shared" si="15"/>
        <v>-0.19743159550254474</v>
      </c>
      <c r="T39" s="56">
        <f t="shared" si="15"/>
        <v>-2.3373205074808893E-2</v>
      </c>
      <c r="U39" s="56">
        <f t="shared" si="15"/>
        <v>7.8079385680294183E-2</v>
      </c>
      <c r="V39" s="56">
        <f t="shared" si="15"/>
        <v>-4.8606654867192015E-3</v>
      </c>
      <c r="W39" s="56">
        <f t="shared" si="15"/>
        <v>3.0652141201467236E-2</v>
      </c>
      <c r="X39" s="56">
        <f t="shared" si="15"/>
        <v>5.2093425605536335E-2</v>
      </c>
      <c r="Y39" s="56">
        <f t="shared" si="15"/>
        <v>4.9346405228758168E-2</v>
      </c>
      <c r="Z39" s="56">
        <f t="shared" si="15"/>
        <v>2.9418099983925413E-2</v>
      </c>
      <c r="AA39" s="56">
        <f t="shared" ref="AA39" si="16">AA12/AA23</f>
        <v>1.8584830656702179E-2</v>
      </c>
      <c r="AB39" s="1"/>
      <c r="AC39" s="1"/>
    </row>
    <row r="40" spans="1:29" x14ac:dyDescent="0.3">
      <c r="A40" s="18" t="s">
        <v>80</v>
      </c>
      <c r="B40" s="17" t="s">
        <v>41</v>
      </c>
      <c r="C40" s="6" t="s">
        <v>61</v>
      </c>
      <c r="D40" s="7">
        <f t="shared" ref="D40:Z40" si="17">D20-D19</f>
        <v>-1270.2617249999967</v>
      </c>
      <c r="E40" s="7">
        <f t="shared" si="17"/>
        <v>616.88373000000138</v>
      </c>
      <c r="F40" s="7">
        <f t="shared" si="17"/>
        <v>-3747.8159999999989</v>
      </c>
      <c r="G40" s="7">
        <f t="shared" si="17"/>
        <v>-2420.849000000002</v>
      </c>
      <c r="H40" s="7">
        <f t="shared" si="17"/>
        <v>37569.275000000001</v>
      </c>
      <c r="I40" s="7">
        <f t="shared" si="17"/>
        <v>41666.120000000003</v>
      </c>
      <c r="J40" s="7">
        <f t="shared" si="17"/>
        <v>15342.237000000001</v>
      </c>
      <c r="K40" s="7">
        <f t="shared" si="17"/>
        <v>15414.512000000002</v>
      </c>
      <c r="L40" s="7">
        <f t="shared" si="17"/>
        <v>19933.189000000006</v>
      </c>
      <c r="M40" s="7">
        <f t="shared" si="17"/>
        <v>26232.331999999995</v>
      </c>
      <c r="N40" s="7">
        <f t="shared" si="17"/>
        <v>25539.946000000004</v>
      </c>
      <c r="O40" s="7">
        <f t="shared" si="17"/>
        <v>22330.110999999997</v>
      </c>
      <c r="P40" s="7">
        <f t="shared" si="17"/>
        <v>-6094.515000000014</v>
      </c>
      <c r="Q40" s="7">
        <f t="shared" si="17"/>
        <v>-8471.0339999999851</v>
      </c>
      <c r="R40" s="7">
        <f t="shared" si="17"/>
        <v>3300.0679999999847</v>
      </c>
      <c r="S40" s="7">
        <f t="shared" si="17"/>
        <v>-1412.2940000000017</v>
      </c>
      <c r="T40" s="7">
        <f t="shared" si="17"/>
        <v>-4099.5879999999961</v>
      </c>
      <c r="U40" s="7">
        <f t="shared" si="17"/>
        <v>45344</v>
      </c>
      <c r="V40" s="7">
        <f t="shared" si="17"/>
        <v>-11108</v>
      </c>
      <c r="W40" s="7">
        <f t="shared" si="17"/>
        <v>-10482</v>
      </c>
      <c r="X40" s="7">
        <f t="shared" si="17"/>
        <v>-15247</v>
      </c>
      <c r="Y40" s="7">
        <f t="shared" si="17"/>
        <v>-15894</v>
      </c>
      <c r="Z40" s="7">
        <f t="shared" si="17"/>
        <v>-19862</v>
      </c>
      <c r="AA40" s="7">
        <f t="shared" ref="AA40" si="18">AA20-AA19</f>
        <v>-22471</v>
      </c>
      <c r="AB40" s="1"/>
      <c r="AC40" s="1"/>
    </row>
    <row r="41" spans="1:29" x14ac:dyDescent="0.3">
      <c r="A41" s="53" t="s">
        <v>96</v>
      </c>
      <c r="B41" s="49" t="s">
        <v>42</v>
      </c>
      <c r="C41" s="52" t="s">
        <v>98</v>
      </c>
      <c r="D41" s="29">
        <f t="shared" ref="D41:Z41" si="19">D20/D19</f>
        <v>0.94556335284635684</v>
      </c>
      <c r="E41" s="29">
        <f t="shared" si="19"/>
        <v>1.0228985578432337</v>
      </c>
      <c r="F41" s="29">
        <f t="shared" si="19"/>
        <v>0.92464048398144594</v>
      </c>
      <c r="G41" s="29">
        <f t="shared" si="19"/>
        <v>0.95139054210174945</v>
      </c>
      <c r="H41" s="29">
        <f t="shared" si="19"/>
        <v>3.8382415134034518</v>
      </c>
      <c r="I41" s="29">
        <f t="shared" si="19"/>
        <v>4.1039267920570222</v>
      </c>
      <c r="J41" s="29">
        <f t="shared" si="19"/>
        <v>1.3526968466625755</v>
      </c>
      <c r="K41" s="29">
        <f t="shared" si="19"/>
        <v>1.3375910426891311</v>
      </c>
      <c r="L41" s="29">
        <f t="shared" si="19"/>
        <v>1.4341962472625835</v>
      </c>
      <c r="M41" s="29">
        <f t="shared" si="19"/>
        <v>1.5388829245442186</v>
      </c>
      <c r="N41" s="29">
        <f t="shared" si="19"/>
        <v>1.4591024424013963</v>
      </c>
      <c r="O41" s="29">
        <f t="shared" si="19"/>
        <v>1.3851937469203413</v>
      </c>
      <c r="P41" s="29">
        <f t="shared" si="19"/>
        <v>0.92837328725667001</v>
      </c>
      <c r="Q41" s="29">
        <f t="shared" si="19"/>
        <v>0.89809029731251455</v>
      </c>
      <c r="R41" s="29">
        <f t="shared" si="19"/>
        <v>1.0502938119189791</v>
      </c>
      <c r="S41" s="29">
        <f t="shared" si="19"/>
        <v>0.97774120656506536</v>
      </c>
      <c r="T41" s="29">
        <f t="shared" si="19"/>
        <v>0.9337006181486146</v>
      </c>
      <c r="U41" s="29">
        <f t="shared" si="19"/>
        <v>8.507284768211921</v>
      </c>
      <c r="V41" s="29">
        <f t="shared" si="19"/>
        <v>0.8104372162872453</v>
      </c>
      <c r="W41" s="29">
        <f t="shared" si="19"/>
        <v>0.81162050931833296</v>
      </c>
      <c r="X41" s="29">
        <f t="shared" si="19"/>
        <v>0.74757458362305884</v>
      </c>
      <c r="Y41" s="29">
        <f t="shared" si="19"/>
        <v>0.7572397360703812</v>
      </c>
      <c r="Z41" s="29">
        <f t="shared" si="19"/>
        <v>0.72369372878526517</v>
      </c>
      <c r="AA41" s="29">
        <f t="shared" ref="AA41" si="20">AA20/AA19</f>
        <v>0.70957193816884656</v>
      </c>
      <c r="AB41" s="1"/>
      <c r="AC41" s="1"/>
    </row>
    <row r="42" spans="1:29" x14ac:dyDescent="0.3">
      <c r="A42" s="16" t="s">
        <v>81</v>
      </c>
      <c r="B42" s="17" t="s">
        <v>43</v>
      </c>
      <c r="C42" s="1" t="s">
        <v>60</v>
      </c>
      <c r="D42" s="29">
        <f t="shared" ref="D42:Z42" si="21">(D20-D21)/D19</f>
        <v>0.94556335284635684</v>
      </c>
      <c r="E42" s="29">
        <f t="shared" si="21"/>
        <v>1.0228985578432337</v>
      </c>
      <c r="F42" s="29">
        <f t="shared" si="21"/>
        <v>0.92464048398144594</v>
      </c>
      <c r="G42" s="29">
        <f t="shared" si="21"/>
        <v>0.95139054210174945</v>
      </c>
      <c r="H42" s="29">
        <f t="shared" si="21"/>
        <v>3.8382415134034518</v>
      </c>
      <c r="I42" s="29">
        <f t="shared" si="21"/>
        <v>4.1039267920570222</v>
      </c>
      <c r="J42" s="29">
        <f t="shared" si="21"/>
        <v>1.3526968466625755</v>
      </c>
      <c r="K42" s="29">
        <f t="shared" si="21"/>
        <v>1.3375910426891311</v>
      </c>
      <c r="L42" s="29">
        <f t="shared" si="21"/>
        <v>1.4341962472625835</v>
      </c>
      <c r="M42" s="29">
        <f t="shared" si="21"/>
        <v>1.5388829245442186</v>
      </c>
      <c r="N42" s="29">
        <f t="shared" si="21"/>
        <v>1.4591024424013963</v>
      </c>
      <c r="O42" s="29">
        <f t="shared" si="21"/>
        <v>1.3851937469203413</v>
      </c>
      <c r="P42" s="29">
        <f t="shared" si="21"/>
        <v>0.92837328725667001</v>
      </c>
      <c r="Q42" s="29">
        <f t="shared" si="21"/>
        <v>0.89809029731251455</v>
      </c>
      <c r="R42" s="29">
        <f t="shared" si="21"/>
        <v>1.0502938119189791</v>
      </c>
      <c r="S42" s="29">
        <f t="shared" si="21"/>
        <v>0.97774120656506536</v>
      </c>
      <c r="T42" s="29">
        <f t="shared" si="21"/>
        <v>0.9337006181486146</v>
      </c>
      <c r="U42" s="29">
        <f t="shared" si="21"/>
        <v>8.507284768211921</v>
      </c>
      <c r="V42" s="29">
        <f t="shared" si="21"/>
        <v>0.8104372162872453</v>
      </c>
      <c r="W42" s="29">
        <f t="shared" si="21"/>
        <v>0.81162050931833296</v>
      </c>
      <c r="X42" s="29">
        <f t="shared" si="21"/>
        <v>0.74757458362305884</v>
      </c>
      <c r="Y42" s="29">
        <f t="shared" si="21"/>
        <v>0.7572397360703812</v>
      </c>
      <c r="Z42" s="29">
        <f t="shared" si="21"/>
        <v>0.72369372878526517</v>
      </c>
      <c r="AA42" s="29">
        <f t="shared" ref="AA42" si="22">(AA20-AA21)/AA19</f>
        <v>0.70957193816884656</v>
      </c>
      <c r="AB42" s="1"/>
      <c r="AC42" s="1"/>
    </row>
    <row r="43" spans="1:29" x14ac:dyDescent="0.3">
      <c r="A43" s="18" t="s">
        <v>82</v>
      </c>
      <c r="B43" s="49" t="s">
        <v>44</v>
      </c>
      <c r="C43" s="6" t="s">
        <v>62</v>
      </c>
      <c r="D43" s="30">
        <f t="shared" ref="D43:Z43" si="23">D14/D19</f>
        <v>3.5855430240993511E-2</v>
      </c>
      <c r="E43" s="30">
        <f t="shared" si="23"/>
        <v>4.3462081960638277E-2</v>
      </c>
      <c r="F43" s="30">
        <f t="shared" si="23"/>
        <v>3.2370230443944235E-2</v>
      </c>
      <c r="G43" s="30">
        <f t="shared" si="23"/>
        <v>3.8578618986026582E-2</v>
      </c>
      <c r="H43" s="30">
        <f t="shared" si="23"/>
        <v>0.10186310693796861</v>
      </c>
      <c r="I43" s="30">
        <f t="shared" si="23"/>
        <v>0.11448283928103173</v>
      </c>
      <c r="J43" s="30">
        <f t="shared" si="23"/>
        <v>3.5325737816865072E-2</v>
      </c>
      <c r="K43" s="30">
        <f t="shared" si="23"/>
        <v>2.9472466799448649E-2</v>
      </c>
      <c r="L43" s="30">
        <f t="shared" si="23"/>
        <v>3.3183688473583224E-2</v>
      </c>
      <c r="M43" s="30">
        <f t="shared" si="23"/>
        <v>3.0292100964165465E-2</v>
      </c>
      <c r="N43" s="30">
        <f t="shared" si="23"/>
        <v>3.1138482270986492E-2</v>
      </c>
      <c r="O43" s="30">
        <f t="shared" si="23"/>
        <v>2.6272152950654822E-2</v>
      </c>
      <c r="P43" s="30">
        <f t="shared" si="23"/>
        <v>2.2946429767680628E-2</v>
      </c>
      <c r="Q43" s="30">
        <f t="shared" si="23"/>
        <v>2.7291551854296204E-2</v>
      </c>
      <c r="R43" s="30">
        <f t="shared" si="23"/>
        <v>2.3809819179793103E-2</v>
      </c>
      <c r="S43" s="30">
        <f t="shared" si="23"/>
        <v>2.7324861496224706E-2</v>
      </c>
      <c r="T43" s="30">
        <f t="shared" si="23"/>
        <v>2.2618188624622289E-2</v>
      </c>
      <c r="U43" s="30">
        <f t="shared" si="23"/>
        <v>0.45728476821192054</v>
      </c>
      <c r="V43" s="30">
        <f t="shared" si="23"/>
        <v>4.4899143315471519E-2</v>
      </c>
      <c r="W43" s="30">
        <f t="shared" si="23"/>
        <v>5.8120518304189205E-2</v>
      </c>
      <c r="X43" s="30">
        <f t="shared" si="23"/>
        <v>6.0329128174563755E-2</v>
      </c>
      <c r="Y43" s="30">
        <f t="shared" si="23"/>
        <v>9.2558651026392963E-2</v>
      </c>
      <c r="Z43" s="30">
        <f t="shared" si="23"/>
        <v>8.7905514439930998E-2</v>
      </c>
      <c r="AA43" s="30">
        <f t="shared" ref="AA43" si="24">AA14/AA19</f>
        <v>8.0416688207620324E-2</v>
      </c>
      <c r="AB43" s="1"/>
      <c r="AC43" s="1"/>
    </row>
    <row r="44" spans="1:29" x14ac:dyDescent="0.3">
      <c r="A44" s="16" t="s">
        <v>83</v>
      </c>
      <c r="B44" s="17" t="s">
        <v>45</v>
      </c>
      <c r="C44" s="1" t="s">
        <v>63</v>
      </c>
      <c r="D44" s="20">
        <f t="shared" ref="D44:Z44" si="25">D29/D7</f>
        <v>16.354860012024048</v>
      </c>
      <c r="E44" s="20">
        <f t="shared" si="25"/>
        <v>20.804437377281065</v>
      </c>
      <c r="F44" s="20">
        <f t="shared" si="25"/>
        <v>17.501540646624282</v>
      </c>
      <c r="G44" s="20">
        <f t="shared" si="25"/>
        <v>16.025148712895366</v>
      </c>
      <c r="H44" s="20">
        <f t="shared" si="25"/>
        <v>6.5499552319717038</v>
      </c>
      <c r="I44" s="20">
        <f t="shared" si="25"/>
        <v>4.783035674726114</v>
      </c>
      <c r="J44" s="20">
        <f t="shared" si="25"/>
        <v>37.924160858591421</v>
      </c>
      <c r="K44" s="20">
        <f t="shared" si="25"/>
        <v>18.329937947266032</v>
      </c>
      <c r="L44" s="20">
        <f t="shared" si="25"/>
        <v>22.690351645547636</v>
      </c>
      <c r="M44" s="20">
        <f t="shared" si="25"/>
        <v>34.029950347033257</v>
      </c>
      <c r="N44" s="20">
        <f t="shared" si="25"/>
        <v>42.287742103971588</v>
      </c>
      <c r="O44" s="20">
        <f t="shared" si="25"/>
        <v>71.141772464612842</v>
      </c>
      <c r="P44" s="20">
        <f t="shared" si="25"/>
        <v>39.709563450879941</v>
      </c>
      <c r="Q44" s="20">
        <f t="shared" si="25"/>
        <v>-12.225319863669544</v>
      </c>
      <c r="R44" s="20">
        <f t="shared" si="25"/>
        <v>-24.483095681666189</v>
      </c>
      <c r="S44" s="20">
        <f t="shared" si="25"/>
        <v>-9.9717984052909348</v>
      </c>
      <c r="T44" s="20">
        <f t="shared" si="25"/>
        <v>-22.77726703545785</v>
      </c>
      <c r="U44" s="20">
        <f t="shared" si="25"/>
        <v>7.742523789613462</v>
      </c>
      <c r="V44" s="20">
        <f t="shared" si="25"/>
        <v>1.8422269436299039</v>
      </c>
      <c r="W44" s="20">
        <f t="shared" si="25"/>
        <v>0.11749583241278194</v>
      </c>
      <c r="X44" s="20">
        <f t="shared" si="25"/>
        <v>-0.72637633525061629</v>
      </c>
      <c r="Y44" s="20">
        <f t="shared" si="25"/>
        <v>-2.2302936630602783</v>
      </c>
      <c r="Z44" s="20">
        <f t="shared" si="25"/>
        <v>-2.5814463111760411</v>
      </c>
      <c r="AA44" s="20">
        <f t="shared" ref="AA44" si="26">AA29/AA7</f>
        <v>-2.3103932584269664</v>
      </c>
      <c r="AB44" s="1"/>
      <c r="AC44" s="1"/>
    </row>
    <row r="45" spans="1:29" x14ac:dyDescent="0.3">
      <c r="A45" s="18" t="s">
        <v>84</v>
      </c>
      <c r="B45" s="54" t="s">
        <v>99</v>
      </c>
      <c r="C45" s="6" t="s">
        <v>64</v>
      </c>
      <c r="D45" s="21">
        <f t="shared" ref="D45:Z45" si="27">D18/D23</f>
        <v>10.960108096427799</v>
      </c>
      <c r="E45" s="21">
        <f t="shared" si="27"/>
        <v>9.9177637868823751</v>
      </c>
      <c r="F45" s="21">
        <f t="shared" si="27"/>
        <v>16.66300410193357</v>
      </c>
      <c r="G45" s="21">
        <f t="shared" si="27"/>
        <v>13.372349369262908</v>
      </c>
      <c r="H45" s="21">
        <f t="shared" si="27"/>
        <v>26.643813964497692</v>
      </c>
      <c r="I45" s="21">
        <f t="shared" si="27"/>
        <v>22.216307263447632</v>
      </c>
      <c r="J45" s="21">
        <f t="shared" si="27"/>
        <v>18.752136595908848</v>
      </c>
      <c r="K45" s="21">
        <f t="shared" si="27"/>
        <v>15.699102133410978</v>
      </c>
      <c r="L45" s="21">
        <f t="shared" si="27"/>
        <v>15.282386555930476</v>
      </c>
      <c r="M45" s="21">
        <f t="shared" si="27"/>
        <v>16.995830182344051</v>
      </c>
      <c r="N45" s="21">
        <f t="shared" si="27"/>
        <v>14.112065905342213</v>
      </c>
      <c r="O45" s="21">
        <f t="shared" si="27"/>
        <v>12.232660753287618</v>
      </c>
      <c r="P45" s="21">
        <f t="shared" si="27"/>
        <v>16.561254800546227</v>
      </c>
      <c r="Q45" s="21">
        <f t="shared" si="27"/>
        <v>20.370408996038289</v>
      </c>
      <c r="R45" s="21">
        <f t="shared" si="27"/>
        <v>21.434955307100566</v>
      </c>
      <c r="S45" s="21">
        <f t="shared" si="27"/>
        <v>24.034139058210982</v>
      </c>
      <c r="T45" s="21">
        <f t="shared" si="27"/>
        <v>14.312279936241042</v>
      </c>
      <c r="U45" s="21">
        <f t="shared" si="27"/>
        <v>15.198356045857668</v>
      </c>
      <c r="V45" s="21">
        <f t="shared" si="27"/>
        <v>15.262717828555886</v>
      </c>
      <c r="W45" s="21">
        <f t="shared" si="27"/>
        <v>10.830620566486566</v>
      </c>
      <c r="X45" s="21">
        <f t="shared" si="27"/>
        <v>12.135467128027681</v>
      </c>
      <c r="Y45" s="21">
        <f t="shared" si="27"/>
        <v>12.340522875816994</v>
      </c>
      <c r="Z45" s="21">
        <f t="shared" si="27"/>
        <v>12.778331457964958</v>
      </c>
      <c r="AA45" s="21">
        <f t="shared" ref="AA45" si="28">AA18/AA23</f>
        <v>13.543329623151534</v>
      </c>
      <c r="AB45" s="1"/>
      <c r="AC45" s="1"/>
    </row>
    <row r="46" spans="1:29" x14ac:dyDescent="0.3">
      <c r="A46" s="18" t="s">
        <v>97</v>
      </c>
      <c r="B46" s="17" t="s">
        <v>100</v>
      </c>
      <c r="C46" s="6" t="s">
        <v>111</v>
      </c>
      <c r="D46" s="28">
        <f t="shared" ref="D46:AC46" si="29">D13/D4</f>
        <v>0</v>
      </c>
      <c r="E46" s="28">
        <f t="shared" si="29"/>
        <v>0</v>
      </c>
      <c r="F46" s="28">
        <f t="shared" si="29"/>
        <v>0</v>
      </c>
      <c r="G46" s="28">
        <f t="shared" si="29"/>
        <v>0</v>
      </c>
      <c r="H46" s="28">
        <f t="shared" si="29"/>
        <v>0</v>
      </c>
      <c r="I46" s="28">
        <f t="shared" si="29"/>
        <v>0</v>
      </c>
      <c r="J46" s="28">
        <f t="shared" si="29"/>
        <v>1.1746538674057734E-2</v>
      </c>
      <c r="K46" s="28">
        <f t="shared" si="29"/>
        <v>7.2033488665553154E-3</v>
      </c>
      <c r="L46" s="28">
        <f t="shared" si="29"/>
        <v>6.4990524483796519E-3</v>
      </c>
      <c r="M46" s="28">
        <f t="shared" si="29"/>
        <v>7.1790537454578572E-3</v>
      </c>
      <c r="N46" s="28">
        <f t="shared" si="29"/>
        <v>0</v>
      </c>
      <c r="O46" s="28">
        <f t="shared" si="29"/>
        <v>4.4227952526681401E-3</v>
      </c>
      <c r="P46" s="28">
        <f t="shared" si="29"/>
        <v>7.2435830935201487E-3</v>
      </c>
      <c r="Q46" s="28">
        <f t="shared" si="29"/>
        <v>0</v>
      </c>
      <c r="R46" s="28">
        <f t="shared" si="29"/>
        <v>0</v>
      </c>
      <c r="S46" s="28">
        <f t="shared" si="29"/>
        <v>0</v>
      </c>
      <c r="T46" s="28">
        <f t="shared" si="29"/>
        <v>0</v>
      </c>
      <c r="U46" s="28">
        <f t="shared" si="29"/>
        <v>0</v>
      </c>
      <c r="V46" s="28">
        <f t="shared" si="29"/>
        <v>0</v>
      </c>
      <c r="W46" s="28">
        <f t="shared" si="29"/>
        <v>0</v>
      </c>
      <c r="X46" s="28">
        <f t="shared" si="29"/>
        <v>0</v>
      </c>
      <c r="Y46" s="28">
        <f t="shared" si="29"/>
        <v>0</v>
      </c>
      <c r="Z46" s="28">
        <f t="shared" si="29"/>
        <v>0</v>
      </c>
      <c r="AA46" s="28">
        <f t="shared" si="29"/>
        <v>0</v>
      </c>
      <c r="AB46" s="28">
        <f t="shared" si="29"/>
        <v>0</v>
      </c>
      <c r="AC46" s="28">
        <f t="shared" si="29"/>
        <v>5.2110474205315276E-2</v>
      </c>
    </row>
    <row r="66" spans="3:3" x14ac:dyDescent="0.3">
      <c r="C66" s="59"/>
    </row>
    <row r="67" spans="3:3" x14ac:dyDescent="0.3">
      <c r="C67" s="59"/>
    </row>
    <row r="68" spans="3:3" x14ac:dyDescent="0.3">
      <c r="C68" s="59"/>
    </row>
    <row r="69" spans="3:3" x14ac:dyDescent="0.3">
      <c r="C69" s="59"/>
    </row>
    <row r="70" spans="3:3" x14ac:dyDescent="0.3">
      <c r="C70" s="59"/>
    </row>
    <row r="71" spans="3:3" x14ac:dyDescent="0.3">
      <c r="C71" s="59"/>
    </row>
    <row r="72" spans="3:3" x14ac:dyDescent="0.3">
      <c r="C72" s="59"/>
    </row>
    <row r="73" spans="3:3" x14ac:dyDescent="0.3">
      <c r="C73" s="59"/>
    </row>
    <row r="74" spans="3:3" x14ac:dyDescent="0.3">
      <c r="C74" s="59"/>
    </row>
    <row r="75" spans="3:3" x14ac:dyDescent="0.3">
      <c r="C75" s="59"/>
    </row>
    <row r="76" spans="3:3" x14ac:dyDescent="0.3">
      <c r="C76" s="59"/>
    </row>
    <row r="77" spans="3:3" x14ac:dyDescent="0.3">
      <c r="C77" s="59"/>
    </row>
    <row r="78" spans="3:3" x14ac:dyDescent="0.3">
      <c r="C78" s="59"/>
    </row>
    <row r="79" spans="3:3" x14ac:dyDescent="0.3">
      <c r="C79" s="59"/>
    </row>
    <row r="80" spans="3:3" x14ac:dyDescent="0.3">
      <c r="C80" s="59"/>
    </row>
    <row r="81" spans="3:3" x14ac:dyDescent="0.3">
      <c r="C81" s="59"/>
    </row>
    <row r="82" spans="3:3" x14ac:dyDescent="0.3">
      <c r="C82" s="60"/>
    </row>
  </sheetData>
  <mergeCells count="2">
    <mergeCell ref="A6:A13"/>
    <mergeCell ref="A14:A23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F4E42-5642-4496-ABDD-B86A80FB46A7}">
  <sheetPr codeName="Planilha34"/>
  <dimension ref="A3:W46"/>
  <sheetViews>
    <sheetView workbookViewId="0">
      <pane xSplit="3" ySplit="3" topLeftCell="D25" activePane="bottomRight" state="frozen"/>
      <selection activeCell="C22" sqref="C22"/>
      <selection pane="topRight" activeCell="C22" sqref="C22"/>
      <selection pane="bottomLeft" activeCell="C22" sqref="C22"/>
      <selection pane="bottomRight" activeCell="E46" sqref="E46:O46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19" width="8.33203125" customWidth="1"/>
  </cols>
  <sheetData>
    <row r="3" spans="1:23" s="10" customFormat="1" x14ac:dyDescent="0.3">
      <c r="A3" s="9" t="s">
        <v>25</v>
      </c>
      <c r="B3" s="8" t="s">
        <v>23</v>
      </c>
      <c r="C3" s="9" t="s">
        <v>24</v>
      </c>
      <c r="D3" s="8">
        <v>6</v>
      </c>
      <c r="E3" s="8">
        <v>7</v>
      </c>
      <c r="F3" s="8">
        <v>8</v>
      </c>
      <c r="G3" s="8">
        <v>9</v>
      </c>
      <c r="H3" s="8">
        <v>10</v>
      </c>
      <c r="I3" s="8">
        <v>11</v>
      </c>
      <c r="J3" s="8">
        <v>12</v>
      </c>
      <c r="K3" s="8">
        <v>13</v>
      </c>
      <c r="L3" s="8">
        <v>14</v>
      </c>
      <c r="M3" s="8">
        <v>15</v>
      </c>
      <c r="N3" s="8">
        <v>16</v>
      </c>
      <c r="O3" s="8">
        <v>17</v>
      </c>
      <c r="P3" s="8">
        <v>18</v>
      </c>
      <c r="Q3" s="8">
        <v>19</v>
      </c>
      <c r="R3" s="8">
        <v>20</v>
      </c>
      <c r="S3" s="8" t="s">
        <v>3</v>
      </c>
      <c r="T3" s="58" t="s">
        <v>94</v>
      </c>
      <c r="U3" s="8" t="s">
        <v>116</v>
      </c>
      <c r="V3" s="8" t="s">
        <v>117</v>
      </c>
      <c r="W3" s="8" t="s">
        <v>118</v>
      </c>
    </row>
    <row r="4" spans="1:23" x14ac:dyDescent="0.3">
      <c r="A4" s="4" t="s">
        <v>5</v>
      </c>
      <c r="B4" s="11">
        <v>1</v>
      </c>
      <c r="C4" s="6" t="s">
        <v>4</v>
      </c>
      <c r="D4" s="19">
        <v>3.16</v>
      </c>
      <c r="E4" s="19">
        <v>3.41</v>
      </c>
      <c r="F4" s="19">
        <v>2.67</v>
      </c>
      <c r="G4" s="19">
        <v>2.83</v>
      </c>
      <c r="H4" s="19">
        <v>2.4300000000000002</v>
      </c>
      <c r="I4" s="19">
        <v>1.99</v>
      </c>
      <c r="J4" s="19">
        <v>1.94</v>
      </c>
      <c r="K4" s="19">
        <v>2.11</v>
      </c>
      <c r="L4" s="19">
        <v>2.27</v>
      </c>
      <c r="M4" s="19">
        <v>2.62</v>
      </c>
      <c r="N4" s="19">
        <v>2.54</v>
      </c>
      <c r="O4" s="19">
        <v>2.4790000000000001</v>
      </c>
      <c r="P4" s="19">
        <v>2.4340000000000002</v>
      </c>
      <c r="Q4" s="19">
        <v>2.72</v>
      </c>
      <c r="R4" s="19">
        <v>2.3650000000000002</v>
      </c>
      <c r="S4" s="19">
        <v>2.5449999999999999</v>
      </c>
      <c r="T4" s="19">
        <v>2.5099999999999998</v>
      </c>
      <c r="U4" s="19">
        <v>2.5099999999999998</v>
      </c>
      <c r="V4" s="19">
        <v>2.5099999999999998</v>
      </c>
      <c r="W4" s="19">
        <v>2.5099999999999998</v>
      </c>
    </row>
    <row r="5" spans="1:23" x14ac:dyDescent="0.3">
      <c r="A5" s="5" t="s">
        <v>8</v>
      </c>
      <c r="B5" s="12">
        <v>3</v>
      </c>
      <c r="C5" s="1" t="s">
        <v>86</v>
      </c>
      <c r="D5" s="3">
        <f>106.70731*5</f>
        <v>533.53655000000003</v>
      </c>
      <c r="E5" s="3">
        <v>537.59</v>
      </c>
      <c r="F5" s="3">
        <v>530.85415999999998</v>
      </c>
      <c r="G5" s="3">
        <v>534</v>
      </c>
      <c r="H5" s="3">
        <v>534.10852</v>
      </c>
      <c r="I5" s="3">
        <v>534.12321999999995</v>
      </c>
      <c r="J5" s="3">
        <v>534.01459</v>
      </c>
      <c r="K5" s="3">
        <v>534</v>
      </c>
      <c r="L5" s="3">
        <v>537.03332999999998</v>
      </c>
      <c r="M5" s="3">
        <v>527.79544999999996</v>
      </c>
      <c r="N5" s="3">
        <v>562.23</v>
      </c>
      <c r="O5" s="3">
        <v>662.8</v>
      </c>
      <c r="P5" s="3">
        <v>680.68</v>
      </c>
      <c r="Q5" s="3">
        <v>667.19</v>
      </c>
      <c r="R5" s="3">
        <v>682.81</v>
      </c>
      <c r="S5" s="3">
        <v>667.04</v>
      </c>
      <c r="T5" s="3">
        <v>667.04</v>
      </c>
      <c r="U5" s="3">
        <v>667.07</v>
      </c>
      <c r="V5" s="3">
        <v>667.2</v>
      </c>
      <c r="W5" s="3">
        <v>667.3</v>
      </c>
    </row>
    <row r="6" spans="1:23" x14ac:dyDescent="0.3">
      <c r="A6" s="101" t="s">
        <v>7</v>
      </c>
      <c r="B6" s="13">
        <v>4</v>
      </c>
      <c r="C6" s="6" t="s">
        <v>104</v>
      </c>
      <c r="D6" s="7">
        <v>387.7</v>
      </c>
      <c r="E6" s="7">
        <v>554.70000000000005</v>
      </c>
      <c r="F6" s="7">
        <v>607.351</v>
      </c>
      <c r="G6" s="7">
        <v>587.32100000000003</v>
      </c>
      <c r="H6" s="7">
        <v>977.14499999999998</v>
      </c>
      <c r="I6" s="7">
        <v>917.32500000000005</v>
      </c>
      <c r="J6" s="7">
        <v>811.28700000000003</v>
      </c>
      <c r="K6" s="7">
        <v>788.84500000000003</v>
      </c>
      <c r="L6" s="7">
        <v>756.04200000000003</v>
      </c>
      <c r="M6" s="7">
        <v>819.14400000000001</v>
      </c>
      <c r="N6" s="7">
        <v>739.452</v>
      </c>
      <c r="O6" s="7">
        <v>748.36599999999999</v>
      </c>
      <c r="P6" s="7">
        <v>727.21</v>
      </c>
      <c r="Q6" s="7">
        <v>786.76</v>
      </c>
      <c r="R6" s="7">
        <v>758.33</v>
      </c>
      <c r="S6" s="7">
        <v>779.45</v>
      </c>
      <c r="T6" s="33">
        <v>765.1</v>
      </c>
      <c r="U6" s="3">
        <v>769.3</v>
      </c>
      <c r="V6" s="3">
        <v>762.5</v>
      </c>
      <c r="W6" s="3">
        <v>765.75</v>
      </c>
    </row>
    <row r="7" spans="1:23" x14ac:dyDescent="0.3">
      <c r="A7" s="101"/>
      <c r="B7" s="13">
        <v>5</v>
      </c>
      <c r="C7" s="1" t="s">
        <v>9</v>
      </c>
      <c r="D7" s="3">
        <v>709.7</v>
      </c>
      <c r="E7" s="3">
        <v>388.9</v>
      </c>
      <c r="F7" s="3">
        <v>366.7</v>
      </c>
      <c r="G7" s="3">
        <v>384.1</v>
      </c>
      <c r="H7" s="3">
        <v>431.4</v>
      </c>
      <c r="I7" s="3">
        <v>472.5</v>
      </c>
      <c r="J7" s="3">
        <v>511.6</v>
      </c>
      <c r="K7" s="3">
        <v>521.5</v>
      </c>
      <c r="L7" s="3">
        <v>505.2</v>
      </c>
      <c r="M7" s="3">
        <v>489.7</v>
      </c>
      <c r="N7" s="3">
        <v>476</v>
      </c>
      <c r="O7" s="3">
        <v>487.5</v>
      </c>
      <c r="P7" s="3">
        <v>492.3</v>
      </c>
      <c r="Q7" s="3">
        <v>486</v>
      </c>
      <c r="R7" s="3">
        <v>470.2</v>
      </c>
      <c r="S7" s="3">
        <v>459.82</v>
      </c>
      <c r="T7" s="32">
        <v>457.45</v>
      </c>
      <c r="U7" s="3">
        <v>462.12</v>
      </c>
      <c r="V7" s="3">
        <v>456.5</v>
      </c>
      <c r="W7" s="3">
        <v>459</v>
      </c>
    </row>
    <row r="8" spans="1:23" x14ac:dyDescent="0.3">
      <c r="A8" s="101"/>
      <c r="B8" s="13">
        <v>6</v>
      </c>
      <c r="C8" s="6" t="s">
        <v>10</v>
      </c>
      <c r="D8" s="7">
        <v>570.79999999999995</v>
      </c>
      <c r="E8" s="7">
        <v>264.89999999999998</v>
      </c>
      <c r="F8" s="7">
        <v>237</v>
      </c>
      <c r="G8" s="7">
        <v>258.7</v>
      </c>
      <c r="H8" s="7">
        <v>250.5</v>
      </c>
      <c r="I8" s="7">
        <v>283.2</v>
      </c>
      <c r="J8" s="7">
        <v>314.2</v>
      </c>
      <c r="K8" s="7">
        <v>320.3</v>
      </c>
      <c r="L8" s="7">
        <v>302.60000000000002</v>
      </c>
      <c r="M8" s="7">
        <v>280.39999999999998</v>
      </c>
      <c r="N8" s="7">
        <v>261.3</v>
      </c>
      <c r="O8" s="7">
        <v>265.5</v>
      </c>
      <c r="P8" s="7">
        <v>257.56</v>
      </c>
      <c r="Q8" s="7">
        <v>250.37</v>
      </c>
      <c r="R8" s="7">
        <v>228.87</v>
      </c>
      <c r="S8" s="7">
        <v>216.98</v>
      </c>
      <c r="T8" s="33">
        <v>210.67</v>
      </c>
      <c r="U8" s="3">
        <v>212.94</v>
      </c>
      <c r="V8" s="3">
        <v>205</v>
      </c>
      <c r="W8" s="3">
        <v>205.75</v>
      </c>
    </row>
    <row r="9" spans="1:23" x14ac:dyDescent="0.3">
      <c r="A9" s="101"/>
      <c r="B9" s="13">
        <v>11</v>
      </c>
      <c r="C9" s="1" t="s">
        <v>11</v>
      </c>
      <c r="D9" s="3">
        <v>-68.632999999999996</v>
      </c>
      <c r="E9" s="3">
        <v>-77.5</v>
      </c>
      <c r="F9" s="3">
        <v>-65</v>
      </c>
      <c r="G9" s="3">
        <v>-73.8</v>
      </c>
      <c r="H9" s="3">
        <v>-83.9</v>
      </c>
      <c r="I9" s="3">
        <v>-103.4</v>
      </c>
      <c r="J9" s="3">
        <v>-136</v>
      </c>
      <c r="K9" s="3">
        <v>-142.19999999999999</v>
      </c>
      <c r="L9" s="3">
        <v>-113.8</v>
      </c>
      <c r="M9" s="3">
        <v>-98.8</v>
      </c>
      <c r="N9" s="3">
        <v>-91.18</v>
      </c>
      <c r="O9" s="3">
        <v>-61.2</v>
      </c>
      <c r="P9" s="3">
        <v>-69.66</v>
      </c>
      <c r="Q9" s="3">
        <v>-65.44</v>
      </c>
      <c r="R9" s="3">
        <v>-59.64</v>
      </c>
      <c r="S9" s="3">
        <v>-48.8</v>
      </c>
      <c r="T9" s="32">
        <v>-46.2</v>
      </c>
      <c r="U9" s="3">
        <v>-45.4</v>
      </c>
      <c r="V9" s="3">
        <v>-41.58</v>
      </c>
      <c r="W9" s="3">
        <v>-41</v>
      </c>
    </row>
    <row r="10" spans="1:23" x14ac:dyDescent="0.3">
      <c r="A10" s="101"/>
      <c r="B10" s="13">
        <v>12</v>
      </c>
      <c r="C10" s="6" t="s">
        <v>12</v>
      </c>
      <c r="D10" s="7">
        <v>569.88</v>
      </c>
      <c r="E10" s="7">
        <v>187.46100000000001</v>
      </c>
      <c r="F10" s="7">
        <v>172</v>
      </c>
      <c r="G10" s="7">
        <v>184.9</v>
      </c>
      <c r="H10" s="7">
        <v>166.6</v>
      </c>
      <c r="I10" s="7">
        <v>179.8</v>
      </c>
      <c r="J10" s="7">
        <v>178.5</v>
      </c>
      <c r="K10" s="7">
        <v>178</v>
      </c>
      <c r="L10" s="7">
        <v>188.8</v>
      </c>
      <c r="M10" s="7">
        <v>181.5</v>
      </c>
      <c r="N10" s="7">
        <v>181.4</v>
      </c>
      <c r="O10" s="7">
        <v>204.3</v>
      </c>
      <c r="P10" s="7">
        <v>199.45</v>
      </c>
      <c r="Q10" s="7">
        <v>198.09</v>
      </c>
      <c r="R10" s="7">
        <v>182.2</v>
      </c>
      <c r="S10" s="7">
        <v>169.92</v>
      </c>
      <c r="T10" s="7">
        <v>168.59</v>
      </c>
      <c r="U10" s="3">
        <v>173.7</v>
      </c>
      <c r="V10" s="3">
        <v>176.5</v>
      </c>
      <c r="W10" s="3">
        <v>180</v>
      </c>
    </row>
    <row r="11" spans="1:23" x14ac:dyDescent="0.3">
      <c r="A11" s="101"/>
      <c r="B11" s="13">
        <v>13</v>
      </c>
      <c r="C11" s="1" t="s">
        <v>13</v>
      </c>
      <c r="D11" s="3">
        <v>73.3</v>
      </c>
      <c r="E11" s="3">
        <v>42.3</v>
      </c>
      <c r="F11" s="3">
        <v>44.552</v>
      </c>
      <c r="G11" s="3">
        <v>50.878</v>
      </c>
      <c r="H11" s="3">
        <v>56.353000000000002</v>
      </c>
      <c r="I11" s="3">
        <v>59.25</v>
      </c>
      <c r="J11" s="3">
        <v>54.65</v>
      </c>
      <c r="K11" s="3">
        <v>56.720999999999997</v>
      </c>
      <c r="L11" s="3">
        <v>51</v>
      </c>
      <c r="M11" s="3">
        <v>40</v>
      </c>
      <c r="N11" s="3">
        <v>55.28</v>
      </c>
      <c r="O11" s="3">
        <v>78.3</v>
      </c>
      <c r="P11" s="3">
        <v>58.5</v>
      </c>
      <c r="Q11" s="3">
        <v>54.8</v>
      </c>
      <c r="R11" s="3">
        <v>44.86</v>
      </c>
      <c r="S11" s="3">
        <v>58.2</v>
      </c>
      <c r="T11" s="32">
        <v>56.4</v>
      </c>
      <c r="U11" s="3">
        <v>55.4</v>
      </c>
      <c r="V11" s="3">
        <v>53</v>
      </c>
      <c r="W11" s="3">
        <v>53.43</v>
      </c>
    </row>
    <row r="12" spans="1:23" x14ac:dyDescent="0.3">
      <c r="A12" s="101"/>
      <c r="B12" s="13">
        <v>14</v>
      </c>
      <c r="C12" s="6" t="s">
        <v>105</v>
      </c>
      <c r="D12" s="7">
        <v>496.6</v>
      </c>
      <c r="E12" s="7">
        <v>145.19999999999999</v>
      </c>
      <c r="F12" s="7">
        <v>127.4</v>
      </c>
      <c r="G12" s="7">
        <v>134</v>
      </c>
      <c r="H12" s="7">
        <v>110.3</v>
      </c>
      <c r="I12" s="7">
        <v>120.6</v>
      </c>
      <c r="J12" s="7">
        <v>123.6</v>
      </c>
      <c r="K12" s="7">
        <v>121.3</v>
      </c>
      <c r="L12" s="7">
        <v>112.8</v>
      </c>
      <c r="M12" s="7">
        <v>116.1</v>
      </c>
      <c r="N12" s="7">
        <v>100.2</v>
      </c>
      <c r="O12" s="7">
        <v>125.9</v>
      </c>
      <c r="P12" s="7">
        <v>115.72</v>
      </c>
      <c r="Q12" s="7">
        <v>118.9</v>
      </c>
      <c r="R12" s="7">
        <v>109.25</v>
      </c>
      <c r="S12" s="7">
        <v>104.39</v>
      </c>
      <c r="T12" s="7">
        <v>106.73</v>
      </c>
      <c r="U12" s="3">
        <v>111.4</v>
      </c>
      <c r="V12" s="3">
        <v>108.5</v>
      </c>
      <c r="W12" s="3">
        <v>110.5</v>
      </c>
    </row>
    <row r="13" spans="1:23" x14ac:dyDescent="0.3">
      <c r="A13" s="101"/>
      <c r="B13" s="13">
        <v>2</v>
      </c>
      <c r="C13" s="1" t="s">
        <v>15</v>
      </c>
      <c r="D13" s="22">
        <v>0.82799999999999996</v>
      </c>
      <c r="E13" s="22">
        <v>0.18</v>
      </c>
      <c r="F13" s="22">
        <v>0.16400000000000001</v>
      </c>
      <c r="G13" s="22">
        <v>0.16700000000000001</v>
      </c>
      <c r="H13" s="22">
        <v>0.16800000000000001</v>
      </c>
      <c r="I13" s="22">
        <v>0.16900000000000001</v>
      </c>
      <c r="J13" s="22">
        <v>0.17</v>
      </c>
      <c r="K13" s="22">
        <v>0.17100000000000001</v>
      </c>
      <c r="L13" s="22">
        <v>0.17100000000000001</v>
      </c>
      <c r="M13" s="22">
        <v>0.17100000000000001</v>
      </c>
      <c r="N13" s="22">
        <v>0.17100000000000001</v>
      </c>
      <c r="O13" s="22">
        <v>0.17100000000000001</v>
      </c>
      <c r="P13" s="22">
        <v>0.17100000000000001</v>
      </c>
      <c r="Q13" s="22">
        <v>0.17</v>
      </c>
      <c r="R13" s="22">
        <v>0.17</v>
      </c>
      <c r="S13" s="22">
        <v>0.16</v>
      </c>
      <c r="T13" s="22">
        <v>0.17</v>
      </c>
      <c r="U13" s="22">
        <v>0.15</v>
      </c>
      <c r="V13" s="22">
        <v>0.15</v>
      </c>
      <c r="W13" s="22">
        <v>0.15</v>
      </c>
    </row>
    <row r="14" spans="1:23" x14ac:dyDescent="0.3">
      <c r="A14" s="111" t="s">
        <v>14</v>
      </c>
      <c r="B14" s="14">
        <v>8</v>
      </c>
      <c r="C14" s="6" t="s">
        <v>16</v>
      </c>
      <c r="D14" s="7">
        <v>23.97</v>
      </c>
      <c r="E14" s="7">
        <v>102.215</v>
      </c>
      <c r="F14" s="7">
        <v>101.431</v>
      </c>
      <c r="G14" s="7">
        <v>69.888000000000005</v>
      </c>
      <c r="H14" s="7">
        <v>138.59800000000001</v>
      </c>
      <c r="I14" s="7">
        <v>69.406999999999996</v>
      </c>
      <c r="J14" s="7">
        <v>61.246000000000002</v>
      </c>
      <c r="K14" s="7">
        <v>167.98699999999999</v>
      </c>
      <c r="L14" s="7">
        <v>112.599</v>
      </c>
      <c r="M14" s="7">
        <v>65.2</v>
      </c>
      <c r="N14" s="7">
        <v>12.1</v>
      </c>
      <c r="O14" s="7">
        <v>61.5</v>
      </c>
      <c r="P14" s="7">
        <v>35.700000000000003</v>
      </c>
      <c r="Q14" s="7">
        <v>21</v>
      </c>
      <c r="R14" s="7">
        <v>61.5</v>
      </c>
      <c r="S14" s="7">
        <v>455.6</v>
      </c>
      <c r="T14" s="7"/>
      <c r="U14" s="3"/>
      <c r="V14" s="3"/>
      <c r="W14" s="3"/>
    </row>
    <row r="15" spans="1:23" x14ac:dyDescent="0.3">
      <c r="A15" s="112"/>
      <c r="B15" s="14">
        <v>7</v>
      </c>
      <c r="C15" s="1" t="s">
        <v>17</v>
      </c>
      <c r="D15" s="3">
        <v>1880.4639999999999</v>
      </c>
      <c r="E15" s="3">
        <v>2057.0740000000001</v>
      </c>
      <c r="F15" s="3">
        <v>1839.556</v>
      </c>
      <c r="G15" s="3">
        <v>2218.9250000000002</v>
      </c>
      <c r="H15" s="3">
        <v>2260.6590000000001</v>
      </c>
      <c r="I15" s="3">
        <v>2423.5929999999998</v>
      </c>
      <c r="J15" s="3">
        <v>2734.6640000000002</v>
      </c>
      <c r="K15" s="3">
        <v>2714.8</v>
      </c>
      <c r="L15" s="3">
        <v>2575.6999999999998</v>
      </c>
      <c r="M15" s="3">
        <v>2512.1</v>
      </c>
      <c r="N15" s="3">
        <v>2487</v>
      </c>
      <c r="O15" s="3">
        <v>2789.6</v>
      </c>
      <c r="P15" s="3">
        <v>2681.8</v>
      </c>
      <c r="Q15" s="3">
        <v>2844.1</v>
      </c>
      <c r="R15" s="3">
        <v>2809.3</v>
      </c>
      <c r="S15" s="3">
        <v>2835.4</v>
      </c>
      <c r="T15" s="3"/>
      <c r="U15" s="3"/>
      <c r="V15" s="3"/>
      <c r="W15" s="3"/>
    </row>
    <row r="16" spans="1:23" x14ac:dyDescent="0.3">
      <c r="A16" s="112"/>
      <c r="B16" s="14">
        <v>9</v>
      </c>
      <c r="C16" s="6" t="s">
        <v>92</v>
      </c>
      <c r="D16" s="7">
        <v>5.0000000000000001E-4</v>
      </c>
      <c r="E16" s="7">
        <v>5.5500000000000005E-4</v>
      </c>
      <c r="F16" s="7">
        <v>5.7399999999999997E-4</v>
      </c>
      <c r="G16" s="7">
        <v>5.1400000000000003E-4</v>
      </c>
      <c r="H16" s="7">
        <v>6.3289999999999997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/>
      <c r="U16" s="1"/>
      <c r="V16" s="1"/>
      <c r="W16" s="1"/>
    </row>
    <row r="17" spans="1:23" x14ac:dyDescent="0.3">
      <c r="A17" s="112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1">
        <v>0</v>
      </c>
      <c r="T17" s="1"/>
      <c r="U17" s="1"/>
      <c r="V17" s="1"/>
      <c r="W17" s="1"/>
    </row>
    <row r="18" spans="1:23" x14ac:dyDescent="0.3">
      <c r="A18" s="112"/>
      <c r="B18" s="14">
        <v>15</v>
      </c>
      <c r="C18" s="6" t="s">
        <v>19</v>
      </c>
      <c r="D18" s="7">
        <v>2959.268</v>
      </c>
      <c r="E18" s="7">
        <v>2963.2049999999999</v>
      </c>
      <c r="F18" s="7">
        <v>2811.3310000000001</v>
      </c>
      <c r="G18" s="7">
        <v>3297.5149999999999</v>
      </c>
      <c r="H18" s="7">
        <v>3438.6030000000001</v>
      </c>
      <c r="I18" s="7">
        <v>3436.2359999999999</v>
      </c>
      <c r="J18" s="7">
        <v>3658.4650000000001</v>
      </c>
      <c r="K18" s="7">
        <v>3981.7829999999999</v>
      </c>
      <c r="L18" s="7">
        <v>3789.1880000000001</v>
      </c>
      <c r="M18" s="7">
        <v>3428.6640000000002</v>
      </c>
      <c r="N18" s="7">
        <v>3390.6080000000002</v>
      </c>
      <c r="O18" s="7">
        <v>3935.4870000000001</v>
      </c>
      <c r="P18" s="7">
        <v>3727.7</v>
      </c>
      <c r="Q18" s="7">
        <v>3859.2</v>
      </c>
      <c r="R18" s="7">
        <v>3841</v>
      </c>
      <c r="S18" s="7">
        <v>4161.8</v>
      </c>
      <c r="T18" s="7"/>
      <c r="U18" s="1"/>
      <c r="V18" s="1"/>
      <c r="W18" s="1"/>
    </row>
    <row r="19" spans="1:23" x14ac:dyDescent="0.3">
      <c r="A19" s="112"/>
      <c r="B19" s="14">
        <v>18</v>
      </c>
      <c r="C19" s="1" t="s">
        <v>21</v>
      </c>
      <c r="D19" s="3">
        <v>1713.961</v>
      </c>
      <c r="E19" s="3">
        <v>1758.2370000000001</v>
      </c>
      <c r="F19" s="3">
        <v>990.68600000000004</v>
      </c>
      <c r="G19" s="3">
        <v>1020.799</v>
      </c>
      <c r="H19" s="3">
        <v>930.94399999999996</v>
      </c>
      <c r="I19" s="3">
        <v>559.96500000000003</v>
      </c>
      <c r="J19" s="3">
        <v>1540.711</v>
      </c>
      <c r="K19" s="3">
        <v>942.12900000000002</v>
      </c>
      <c r="L19" s="3">
        <v>1005.0309999999999</v>
      </c>
      <c r="M19" s="3">
        <v>973.57899999999995</v>
      </c>
      <c r="N19" s="3">
        <v>556.87300000000005</v>
      </c>
      <c r="O19" s="3">
        <v>1127.6300000000001</v>
      </c>
      <c r="P19" s="3">
        <v>851.3</v>
      </c>
      <c r="Q19" s="3">
        <v>1127.9000000000001</v>
      </c>
      <c r="R19" s="1">
        <v>925</v>
      </c>
      <c r="S19" s="1">
        <v>943.6</v>
      </c>
      <c r="T19" s="1"/>
      <c r="U19" s="1"/>
      <c r="V19" s="1"/>
      <c r="W19" s="1"/>
    </row>
    <row r="20" spans="1:23" x14ac:dyDescent="0.3">
      <c r="A20" s="112"/>
      <c r="B20" s="14">
        <v>17</v>
      </c>
      <c r="C20" s="6" t="s">
        <v>22</v>
      </c>
      <c r="D20" s="7">
        <v>503.88799999999998</v>
      </c>
      <c r="E20" s="7">
        <v>695.56899999999996</v>
      </c>
      <c r="F20" s="7">
        <v>410.13099999999997</v>
      </c>
      <c r="G20" s="7">
        <v>647.95500000000004</v>
      </c>
      <c r="H20" s="7">
        <v>495.24799999999999</v>
      </c>
      <c r="I20" s="7">
        <v>314.98399999999998</v>
      </c>
      <c r="J20" s="3">
        <v>398.50299999999999</v>
      </c>
      <c r="K20" s="3">
        <v>758.51800000000003</v>
      </c>
      <c r="L20" s="7">
        <v>657.43499999999995</v>
      </c>
      <c r="M20" s="7">
        <v>337.27100000000002</v>
      </c>
      <c r="N20" s="7">
        <v>461.95400000000001</v>
      </c>
      <c r="O20" s="7">
        <v>605.26499999999999</v>
      </c>
      <c r="P20" s="7">
        <v>500.3</v>
      </c>
      <c r="Q20" s="7">
        <v>395.3</v>
      </c>
      <c r="R20" s="7">
        <v>512</v>
      </c>
      <c r="S20" s="7">
        <v>775.4</v>
      </c>
      <c r="T20" s="7"/>
      <c r="U20" s="1"/>
      <c r="V20" s="1"/>
      <c r="W20" s="1"/>
    </row>
    <row r="21" spans="1:23" x14ac:dyDescent="0.3">
      <c r="A21" s="112"/>
      <c r="B21" s="14">
        <v>19</v>
      </c>
      <c r="C21" s="1" t="s">
        <v>88</v>
      </c>
      <c r="D21" s="3">
        <v>3.089</v>
      </c>
      <c r="E21" s="3">
        <v>3.073</v>
      </c>
      <c r="F21" s="3">
        <v>8.3640000000000008</v>
      </c>
      <c r="G21" s="3">
        <v>23.789000000000001</v>
      </c>
      <c r="H21" s="3">
        <v>4.0469999999999997</v>
      </c>
      <c r="I21" s="3">
        <v>3.6280000000000001</v>
      </c>
      <c r="J21" s="3">
        <v>2.92</v>
      </c>
      <c r="K21" s="3">
        <v>1.88</v>
      </c>
      <c r="L21" s="3">
        <v>1.7789999999999999</v>
      </c>
      <c r="M21" s="3">
        <v>2.9849999999999999</v>
      </c>
      <c r="N21" s="3">
        <v>1.028</v>
      </c>
      <c r="O21" s="3">
        <v>2.9580000000000002</v>
      </c>
      <c r="P21" s="3">
        <v>2.1</v>
      </c>
      <c r="Q21" s="3">
        <v>3.9</v>
      </c>
      <c r="R21" s="1">
        <v>2.5</v>
      </c>
      <c r="S21" s="1">
        <v>2.5</v>
      </c>
      <c r="T21" s="1"/>
      <c r="U21" s="1"/>
      <c r="V21" s="1"/>
      <c r="W21" s="1"/>
    </row>
    <row r="22" spans="1:23" x14ac:dyDescent="0.3">
      <c r="A22" s="112"/>
      <c r="B22" s="14">
        <v>20</v>
      </c>
      <c r="C22" s="6" t="s">
        <v>87</v>
      </c>
      <c r="D22" s="7">
        <v>431.31099999999998</v>
      </c>
      <c r="E22" s="7">
        <v>511.45699999999999</v>
      </c>
      <c r="F22" s="7">
        <v>263.85599999999999</v>
      </c>
      <c r="G22" s="7">
        <v>426.52699999999999</v>
      </c>
      <c r="H22" s="7">
        <v>275.79599999999999</v>
      </c>
      <c r="I22" s="7">
        <v>226.791</v>
      </c>
      <c r="J22" s="7">
        <v>310.738</v>
      </c>
      <c r="K22" s="7">
        <v>565.923</v>
      </c>
      <c r="L22" s="7">
        <v>459.78500000000003</v>
      </c>
      <c r="M22" s="7">
        <v>269.10000000000002</v>
      </c>
      <c r="N22" s="7">
        <v>448.8</v>
      </c>
      <c r="O22" s="7">
        <v>540.79999999999995</v>
      </c>
      <c r="P22" s="7">
        <v>462.5</v>
      </c>
      <c r="Q22" s="7">
        <v>368.6</v>
      </c>
      <c r="R22" s="7">
        <v>448.1</v>
      </c>
      <c r="S22" s="7">
        <v>316.39999999999998</v>
      </c>
      <c r="T22" s="7"/>
      <c r="U22" s="1"/>
      <c r="V22" s="1"/>
      <c r="W22" s="1"/>
    </row>
    <row r="23" spans="1:23" x14ac:dyDescent="0.3">
      <c r="A23" s="112"/>
      <c r="B23" s="14">
        <v>16</v>
      </c>
      <c r="C23" s="1" t="s">
        <v>20</v>
      </c>
      <c r="D23" s="3">
        <v>946.36400000000003</v>
      </c>
      <c r="E23" s="3">
        <v>1006.329</v>
      </c>
      <c r="F23" s="3">
        <v>1011.676</v>
      </c>
      <c r="G23" s="3">
        <v>996.59900000000005</v>
      </c>
      <c r="H23" s="3">
        <v>1021.901</v>
      </c>
      <c r="I23" s="3">
        <v>1037.4390000000001</v>
      </c>
      <c r="J23" s="3">
        <v>1027.5889999999999</v>
      </c>
      <c r="K23" s="3">
        <v>1079.566</v>
      </c>
      <c r="L23" s="3">
        <v>1135.567</v>
      </c>
      <c r="M23" s="3">
        <v>1161.289</v>
      </c>
      <c r="N23" s="3">
        <v>1159.2170000000001</v>
      </c>
      <c r="O23" s="3">
        <v>1429.1890000000001</v>
      </c>
      <c r="P23" s="3">
        <v>1463.8</v>
      </c>
      <c r="Q23" s="3">
        <v>1446.1</v>
      </c>
      <c r="R23" s="3">
        <v>1407.7</v>
      </c>
      <c r="S23" s="3">
        <v>1367.6</v>
      </c>
      <c r="T23" s="3"/>
      <c r="U23" s="3"/>
      <c r="V23" s="3"/>
      <c r="W23" s="3"/>
    </row>
    <row r="24" spans="1:23" x14ac:dyDescent="0.3">
      <c r="A24" s="76"/>
      <c r="B24" s="77"/>
      <c r="C24" s="78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8"/>
    </row>
    <row r="25" spans="1:23" x14ac:dyDescent="0.3">
      <c r="A25" s="9" t="s">
        <v>71</v>
      </c>
      <c r="B25" s="8"/>
      <c r="C25" s="9" t="s">
        <v>26</v>
      </c>
      <c r="D25" s="8">
        <v>6</v>
      </c>
      <c r="E25" s="8">
        <v>7</v>
      </c>
      <c r="F25" s="8">
        <v>8</v>
      </c>
      <c r="G25" s="8">
        <v>9</v>
      </c>
      <c r="H25" s="8">
        <v>10</v>
      </c>
      <c r="I25" s="8">
        <v>11</v>
      </c>
      <c r="J25" s="8">
        <v>12</v>
      </c>
      <c r="K25" s="8">
        <v>13</v>
      </c>
      <c r="L25" s="8">
        <v>14</v>
      </c>
      <c r="M25" s="8">
        <v>15</v>
      </c>
      <c r="N25" s="8">
        <v>16</v>
      </c>
      <c r="O25" s="8">
        <v>17</v>
      </c>
      <c r="P25" s="8">
        <v>18</v>
      </c>
      <c r="Q25" s="8">
        <v>19</v>
      </c>
      <c r="R25" s="8">
        <v>20</v>
      </c>
      <c r="S25" s="8" t="s">
        <v>3</v>
      </c>
      <c r="T25" s="58" t="s">
        <v>94</v>
      </c>
      <c r="U25" s="8" t="s">
        <v>116</v>
      </c>
      <c r="V25" s="8" t="s">
        <v>117</v>
      </c>
      <c r="W25" s="8" t="s">
        <v>118</v>
      </c>
    </row>
    <row r="26" spans="1:23" x14ac:dyDescent="0.3">
      <c r="A26" s="6" t="s">
        <v>65</v>
      </c>
      <c r="B26" s="17" t="s">
        <v>27</v>
      </c>
      <c r="C26" s="6" t="s">
        <v>85</v>
      </c>
      <c r="D26" s="7">
        <f t="shared" ref="D26:Q26" si="0">D4*D5</f>
        <v>1685.9754980000002</v>
      </c>
      <c r="E26" s="7">
        <f t="shared" si="0"/>
        <v>1833.1819000000003</v>
      </c>
      <c r="F26" s="7">
        <f t="shared" si="0"/>
        <v>1417.3806072</v>
      </c>
      <c r="G26" s="7">
        <f t="shared" si="0"/>
        <v>1511.22</v>
      </c>
      <c r="H26" s="7">
        <f t="shared" si="0"/>
        <v>1297.8837036</v>
      </c>
      <c r="I26" s="7">
        <f t="shared" si="0"/>
        <v>1062.9052078</v>
      </c>
      <c r="J26" s="7">
        <f t="shared" si="0"/>
        <v>1035.9883046</v>
      </c>
      <c r="K26" s="7">
        <f t="shared" si="0"/>
        <v>1126.74</v>
      </c>
      <c r="L26" s="7">
        <f t="shared" si="0"/>
        <v>1219.0656590999999</v>
      </c>
      <c r="M26" s="7">
        <f t="shared" si="0"/>
        <v>1382.824079</v>
      </c>
      <c r="N26" s="7">
        <f t="shared" si="0"/>
        <v>1428.0642</v>
      </c>
      <c r="O26" s="7">
        <f t="shared" si="0"/>
        <v>1643.0811999999999</v>
      </c>
      <c r="P26" s="7">
        <f t="shared" si="0"/>
        <v>1656.77512</v>
      </c>
      <c r="Q26" s="7">
        <f t="shared" si="0"/>
        <v>1814.7568000000003</v>
      </c>
      <c r="R26" s="7">
        <f t="shared" ref="R26:W26" si="1">R4*R5</f>
        <v>1614.84565</v>
      </c>
      <c r="S26" s="7">
        <f t="shared" si="1"/>
        <v>1697.6167999999998</v>
      </c>
      <c r="T26" s="7">
        <f t="shared" si="1"/>
        <v>1674.2703999999997</v>
      </c>
      <c r="U26" s="7">
        <f t="shared" si="1"/>
        <v>1674.3457000000001</v>
      </c>
      <c r="V26" s="7">
        <f t="shared" si="1"/>
        <v>1674.672</v>
      </c>
      <c r="W26" s="7">
        <f t="shared" si="1"/>
        <v>1674.9229999999998</v>
      </c>
    </row>
    <row r="27" spans="1:23" x14ac:dyDescent="0.3">
      <c r="A27" s="1" t="s">
        <v>66</v>
      </c>
      <c r="B27" s="2" t="s">
        <v>28</v>
      </c>
      <c r="C27" s="1" t="s">
        <v>47</v>
      </c>
      <c r="D27" s="30">
        <f t="shared" ref="D27:Q27" si="2">D26/D6</f>
        <v>4.3486600412690235</v>
      </c>
      <c r="E27" s="30">
        <f t="shared" si="2"/>
        <v>3.3048168379304133</v>
      </c>
      <c r="F27" s="30">
        <f t="shared" si="2"/>
        <v>2.3337091849688236</v>
      </c>
      <c r="G27" s="30">
        <f t="shared" si="2"/>
        <v>2.5730733278735136</v>
      </c>
      <c r="H27" s="30">
        <f t="shared" si="2"/>
        <v>1.3282406435073608</v>
      </c>
      <c r="I27" s="30">
        <f t="shared" si="2"/>
        <v>1.1587007961191507</v>
      </c>
      <c r="J27" s="30">
        <f t="shared" si="2"/>
        <v>1.2769689451451829</v>
      </c>
      <c r="K27" s="30">
        <f t="shared" si="2"/>
        <v>1.4283414358967859</v>
      </c>
      <c r="L27" s="30">
        <f t="shared" si="2"/>
        <v>1.6124311335878163</v>
      </c>
      <c r="M27" s="30">
        <f t="shared" si="2"/>
        <v>1.6881330742824217</v>
      </c>
      <c r="N27" s="30">
        <f t="shared" si="2"/>
        <v>1.931246652926762</v>
      </c>
      <c r="O27" s="30">
        <f t="shared" si="2"/>
        <v>2.1955583230665208</v>
      </c>
      <c r="P27" s="30">
        <f t="shared" si="2"/>
        <v>2.2782622901225231</v>
      </c>
      <c r="Q27" s="30">
        <f t="shared" si="2"/>
        <v>2.3066205704407956</v>
      </c>
      <c r="R27" s="30">
        <f t="shared" ref="R27:W27" si="3">R26/R6</f>
        <v>2.129476151543523</v>
      </c>
      <c r="S27" s="30">
        <f t="shared" si="3"/>
        <v>2.1779675412149588</v>
      </c>
      <c r="T27" s="30">
        <f t="shared" si="3"/>
        <v>2.1883027055286886</v>
      </c>
      <c r="U27" s="30">
        <f t="shared" si="3"/>
        <v>2.1764535291823739</v>
      </c>
      <c r="V27" s="30">
        <f t="shared" si="3"/>
        <v>2.1962911475409834</v>
      </c>
      <c r="W27" s="30">
        <f t="shared" si="3"/>
        <v>2.1872974208292519</v>
      </c>
    </row>
    <row r="28" spans="1:23" x14ac:dyDescent="0.3">
      <c r="A28" s="6" t="s">
        <v>67</v>
      </c>
      <c r="B28" s="17" t="s">
        <v>29</v>
      </c>
      <c r="C28" s="6" t="s">
        <v>48</v>
      </c>
      <c r="D28" s="21">
        <f t="shared" ref="D28:Q28" si="4">D26/D7</f>
        <v>2.3756171593631112</v>
      </c>
      <c r="E28" s="21">
        <f t="shared" si="4"/>
        <v>4.7137616353818474</v>
      </c>
      <c r="F28" s="21">
        <f t="shared" si="4"/>
        <v>3.8652320894464141</v>
      </c>
      <c r="G28" s="21">
        <f t="shared" si="4"/>
        <v>3.9344441551679248</v>
      </c>
      <c r="H28" s="21">
        <f t="shared" si="4"/>
        <v>3.0085389513212797</v>
      </c>
      <c r="I28" s="21">
        <f t="shared" si="4"/>
        <v>2.2495348313227512</v>
      </c>
      <c r="J28" s="21">
        <f t="shared" si="4"/>
        <v>2.024996686082877</v>
      </c>
      <c r="K28" s="21">
        <f t="shared" si="4"/>
        <v>2.160575263662512</v>
      </c>
      <c r="L28" s="21">
        <f t="shared" si="4"/>
        <v>2.4130357464370547</v>
      </c>
      <c r="M28" s="21">
        <f t="shared" si="4"/>
        <v>2.8238188258117214</v>
      </c>
      <c r="N28" s="21">
        <f t="shared" si="4"/>
        <v>3.0001348739495799</v>
      </c>
      <c r="O28" s="21">
        <f t="shared" si="4"/>
        <v>3.370422974358974</v>
      </c>
      <c r="P28" s="21">
        <f t="shared" si="4"/>
        <v>3.3653770465163517</v>
      </c>
      <c r="Q28" s="21">
        <f t="shared" si="4"/>
        <v>3.734067489711935</v>
      </c>
      <c r="R28" s="21">
        <f t="shared" ref="R28:W28" si="5">R26/R7</f>
        <v>3.4343803700552957</v>
      </c>
      <c r="S28" s="21">
        <f t="shared" si="5"/>
        <v>3.6919159671175672</v>
      </c>
      <c r="T28" s="21">
        <f t="shared" si="5"/>
        <v>3.6600074325062844</v>
      </c>
      <c r="U28" s="21">
        <f t="shared" si="5"/>
        <v>3.6231838050722756</v>
      </c>
      <c r="V28" s="21">
        <f t="shared" si="5"/>
        <v>3.6685038335158819</v>
      </c>
      <c r="W28" s="21">
        <f t="shared" si="5"/>
        <v>3.6490697167755988</v>
      </c>
    </row>
    <row r="29" spans="1:23" x14ac:dyDescent="0.3">
      <c r="A29" s="15" t="s">
        <v>68</v>
      </c>
      <c r="B29" s="2" t="s">
        <v>30</v>
      </c>
      <c r="C29" s="1" t="s">
        <v>49</v>
      </c>
      <c r="D29" s="3">
        <f t="shared" ref="D29:T29" si="6">D15-D14</f>
        <v>1856.4939999999999</v>
      </c>
      <c r="E29" s="3">
        <f t="shared" si="6"/>
        <v>1954.8590000000002</v>
      </c>
      <c r="F29" s="3">
        <f t="shared" si="6"/>
        <v>1738.125</v>
      </c>
      <c r="G29" s="3">
        <f t="shared" si="6"/>
        <v>2149.0370000000003</v>
      </c>
      <c r="H29" s="3">
        <f t="shared" si="6"/>
        <v>2122.0610000000001</v>
      </c>
      <c r="I29" s="3">
        <f t="shared" si="6"/>
        <v>2354.1859999999997</v>
      </c>
      <c r="J29" s="3">
        <f t="shared" si="6"/>
        <v>2673.4180000000001</v>
      </c>
      <c r="K29" s="3">
        <f t="shared" si="6"/>
        <v>2546.8130000000001</v>
      </c>
      <c r="L29" s="3">
        <f t="shared" si="6"/>
        <v>2463.1009999999997</v>
      </c>
      <c r="M29" s="3">
        <f t="shared" si="6"/>
        <v>2446.9</v>
      </c>
      <c r="N29" s="3">
        <f t="shared" si="6"/>
        <v>2474.9</v>
      </c>
      <c r="O29" s="3">
        <f t="shared" si="6"/>
        <v>2728.1</v>
      </c>
      <c r="P29" s="3">
        <f t="shared" si="6"/>
        <v>2646.1000000000004</v>
      </c>
      <c r="Q29" s="3">
        <f t="shared" si="6"/>
        <v>2823.1</v>
      </c>
      <c r="R29" s="3">
        <f t="shared" si="6"/>
        <v>2747.8</v>
      </c>
      <c r="S29" s="3">
        <f t="shared" si="6"/>
        <v>2379.8000000000002</v>
      </c>
      <c r="T29" s="3">
        <f t="shared" si="6"/>
        <v>0</v>
      </c>
      <c r="U29" s="1"/>
      <c r="V29" s="1"/>
      <c r="W29" s="1"/>
    </row>
    <row r="30" spans="1:23" x14ac:dyDescent="0.3">
      <c r="A30" s="6" t="s">
        <v>69</v>
      </c>
      <c r="B30" s="17" t="s">
        <v>31</v>
      </c>
      <c r="C30" s="6" t="s">
        <v>50</v>
      </c>
      <c r="D30" s="7">
        <f t="shared" ref="D30:R30" si="7">D26+D29+D16+D17</f>
        <v>3542.4699980000005</v>
      </c>
      <c r="E30" s="7">
        <f t="shared" si="7"/>
        <v>3788.0414550000005</v>
      </c>
      <c r="F30" s="7">
        <f t="shared" si="7"/>
        <v>3155.5061811999999</v>
      </c>
      <c r="G30" s="7">
        <f t="shared" si="7"/>
        <v>3660.2575140000004</v>
      </c>
      <c r="H30" s="7">
        <f t="shared" si="7"/>
        <v>3426.2737036000003</v>
      </c>
      <c r="I30" s="7">
        <f t="shared" si="7"/>
        <v>3417.0912077999997</v>
      </c>
      <c r="J30" s="7">
        <f t="shared" si="7"/>
        <v>3709.4063046000001</v>
      </c>
      <c r="K30" s="7">
        <f t="shared" si="7"/>
        <v>3673.5529999999999</v>
      </c>
      <c r="L30" s="7">
        <f t="shared" si="7"/>
        <v>3682.1666590999994</v>
      </c>
      <c r="M30" s="7">
        <f t="shared" si="7"/>
        <v>3829.7240790000001</v>
      </c>
      <c r="N30" s="7">
        <f t="shared" si="7"/>
        <v>3902.9642000000003</v>
      </c>
      <c r="O30" s="7">
        <f t="shared" si="7"/>
        <v>4371.1812</v>
      </c>
      <c r="P30" s="7">
        <f t="shared" si="7"/>
        <v>4302.8751200000006</v>
      </c>
      <c r="Q30" s="7">
        <f t="shared" si="7"/>
        <v>4637.8568000000005</v>
      </c>
      <c r="R30" s="7">
        <f t="shared" si="7"/>
        <v>4362.6456500000004</v>
      </c>
      <c r="S30" s="3">
        <f t="shared" ref="S30" si="8">S16-S15</f>
        <v>-2835.4</v>
      </c>
      <c r="T30" s="7"/>
      <c r="U30" s="1"/>
      <c r="V30" s="1"/>
      <c r="W30" s="1"/>
    </row>
    <row r="31" spans="1:23" x14ac:dyDescent="0.3">
      <c r="A31" s="1" t="s">
        <v>70</v>
      </c>
      <c r="B31" s="2" t="s">
        <v>32</v>
      </c>
      <c r="C31" s="1" t="s">
        <v>51</v>
      </c>
      <c r="D31" s="30">
        <f t="shared" ref="D31:R31" si="9">D30/D7</f>
        <v>4.9915034493447941</v>
      </c>
      <c r="E31" s="30">
        <f t="shared" si="9"/>
        <v>9.7403997300077165</v>
      </c>
      <c r="F31" s="30">
        <f t="shared" si="9"/>
        <v>8.6051436629397333</v>
      </c>
      <c r="G31" s="30">
        <f t="shared" si="9"/>
        <v>9.5294389846394179</v>
      </c>
      <c r="H31" s="30">
        <f t="shared" si="9"/>
        <v>7.94221998980065</v>
      </c>
      <c r="I31" s="30">
        <f t="shared" si="9"/>
        <v>7.2319390641269834</v>
      </c>
      <c r="J31" s="30">
        <f t="shared" si="9"/>
        <v>7.2505987189210321</v>
      </c>
      <c r="K31" s="30">
        <f t="shared" si="9"/>
        <v>7.0442051773729624</v>
      </c>
      <c r="L31" s="30">
        <f t="shared" si="9"/>
        <v>7.2885325793745039</v>
      </c>
      <c r="M31" s="30">
        <f t="shared" si="9"/>
        <v>7.8205515192975295</v>
      </c>
      <c r="N31" s="30">
        <f t="shared" si="9"/>
        <v>8.1995046218487406</v>
      </c>
      <c r="O31" s="30">
        <f t="shared" si="9"/>
        <v>8.9665255384615392</v>
      </c>
      <c r="P31" s="30">
        <f t="shared" si="9"/>
        <v>8.740351655494619</v>
      </c>
      <c r="Q31" s="30">
        <f t="shared" si="9"/>
        <v>9.542915226337449</v>
      </c>
      <c r="R31" s="30">
        <f t="shared" si="9"/>
        <v>9.2782765844321577</v>
      </c>
      <c r="S31" s="3">
        <f t="shared" ref="S31" si="10">S17-S16</f>
        <v>0</v>
      </c>
      <c r="T31" s="30"/>
      <c r="U31" s="1"/>
      <c r="V31" s="1"/>
      <c r="W31" s="1"/>
    </row>
    <row r="32" spans="1:23" x14ac:dyDescent="0.3">
      <c r="A32" s="18" t="s">
        <v>72</v>
      </c>
      <c r="B32" s="17" t="s">
        <v>33</v>
      </c>
      <c r="C32" s="6" t="s">
        <v>109</v>
      </c>
      <c r="D32" s="27">
        <f t="shared" ref="D32:Q32" si="11">D7/D6</f>
        <v>1.8305390766056231</v>
      </c>
      <c r="E32" s="27">
        <f t="shared" si="11"/>
        <v>0.70109969352803303</v>
      </c>
      <c r="F32" s="27">
        <f t="shared" si="11"/>
        <v>0.60376948420270982</v>
      </c>
      <c r="G32" s="27">
        <f t="shared" si="11"/>
        <v>0.65398649120327723</v>
      </c>
      <c r="H32" s="27">
        <f t="shared" si="11"/>
        <v>0.44149025988978091</v>
      </c>
      <c r="I32" s="27">
        <f t="shared" si="11"/>
        <v>0.51508462104488595</v>
      </c>
      <c r="J32" s="27">
        <f t="shared" si="11"/>
        <v>0.63060298020306005</v>
      </c>
      <c r="K32" s="27">
        <f t="shared" si="11"/>
        <v>0.66109311715229224</v>
      </c>
      <c r="L32" s="27">
        <f t="shared" si="11"/>
        <v>0.66821684509590729</v>
      </c>
      <c r="M32" s="27">
        <f t="shared" si="11"/>
        <v>0.59781918685847668</v>
      </c>
      <c r="N32" s="27">
        <f t="shared" si="11"/>
        <v>0.64371994395849896</v>
      </c>
      <c r="O32" s="27">
        <f t="shared" si="11"/>
        <v>0.6514192253523009</v>
      </c>
      <c r="P32" s="27">
        <f t="shared" si="11"/>
        <v>0.67697088873915379</v>
      </c>
      <c r="Q32" s="27">
        <f t="shared" si="11"/>
        <v>0.61772332096191973</v>
      </c>
      <c r="R32" s="27">
        <f t="shared" ref="R32:W32" si="12">R7/R6</f>
        <v>0.62004668152387477</v>
      </c>
      <c r="S32" s="27">
        <f t="shared" si="12"/>
        <v>0.58992879594585923</v>
      </c>
      <c r="T32" s="27">
        <f t="shared" si="12"/>
        <v>0.59789569990850866</v>
      </c>
      <c r="U32" s="27">
        <f t="shared" si="12"/>
        <v>0.60070193682568573</v>
      </c>
      <c r="V32" s="27">
        <f t="shared" si="12"/>
        <v>0.59868852459016397</v>
      </c>
      <c r="W32" s="27">
        <f t="shared" si="12"/>
        <v>0.59941234084231143</v>
      </c>
    </row>
    <row r="33" spans="1:23" x14ac:dyDescent="0.3">
      <c r="A33" s="16" t="s">
        <v>73</v>
      </c>
      <c r="B33" s="2" t="s">
        <v>34</v>
      </c>
      <c r="C33" s="1" t="s">
        <v>110</v>
      </c>
      <c r="D33" s="28">
        <f t="shared" ref="D33:Q33" si="13">D8/D6</f>
        <v>1.4722723755481042</v>
      </c>
      <c r="E33" s="28">
        <f t="shared" si="13"/>
        <v>0.47755543537047046</v>
      </c>
      <c r="F33" s="28">
        <f t="shared" si="13"/>
        <v>0.39021916486512742</v>
      </c>
      <c r="G33" s="28">
        <f t="shared" si="13"/>
        <v>0.44047462971696905</v>
      </c>
      <c r="H33" s="28">
        <f t="shared" si="13"/>
        <v>0.25635908693182691</v>
      </c>
      <c r="I33" s="28">
        <f t="shared" si="13"/>
        <v>0.30872373477229986</v>
      </c>
      <c r="J33" s="28">
        <f t="shared" si="13"/>
        <v>0.38728588033581207</v>
      </c>
      <c r="K33" s="28">
        <f t="shared" si="13"/>
        <v>0.40603667387129283</v>
      </c>
      <c r="L33" s="28">
        <f t="shared" si="13"/>
        <v>0.40024231458040693</v>
      </c>
      <c r="M33" s="28">
        <f t="shared" si="13"/>
        <v>0.34230855624896228</v>
      </c>
      <c r="N33" s="28">
        <f t="shared" si="13"/>
        <v>0.35336979276545333</v>
      </c>
      <c r="O33" s="28">
        <f t="shared" si="13"/>
        <v>0.35477293196109927</v>
      </c>
      <c r="P33" s="28">
        <f t="shared" si="13"/>
        <v>0.35417554764098402</v>
      </c>
      <c r="Q33" s="28">
        <f t="shared" si="13"/>
        <v>0.31822919314657583</v>
      </c>
      <c r="R33" s="28">
        <f t="shared" ref="R33:W33" si="14">R8/R6</f>
        <v>0.30180792003481333</v>
      </c>
      <c r="S33" s="28">
        <f t="shared" si="14"/>
        <v>0.27837577779203282</v>
      </c>
      <c r="T33" s="28">
        <f t="shared" si="14"/>
        <v>0.27534962749967323</v>
      </c>
      <c r="U33" s="28">
        <f t="shared" si="14"/>
        <v>0.2767970882620564</v>
      </c>
      <c r="V33" s="28">
        <f t="shared" si="14"/>
        <v>0.26885245901639343</v>
      </c>
      <c r="W33" s="28">
        <f t="shared" si="14"/>
        <v>0.26869082598759386</v>
      </c>
    </row>
    <row r="34" spans="1:23" x14ac:dyDescent="0.3">
      <c r="A34" s="18" t="s">
        <v>74</v>
      </c>
      <c r="B34" s="17" t="s">
        <v>35</v>
      </c>
      <c r="C34" s="6" t="s">
        <v>54</v>
      </c>
      <c r="D34" s="27">
        <f t="shared" ref="D34:Q34" si="15">D11/D10</f>
        <v>0.12862356987435952</v>
      </c>
      <c r="E34" s="27">
        <f t="shared" si="15"/>
        <v>0.22564693456238893</v>
      </c>
      <c r="F34" s="27">
        <f t="shared" si="15"/>
        <v>0.25902325581395347</v>
      </c>
      <c r="G34" s="27">
        <f t="shared" si="15"/>
        <v>0.27516495402920499</v>
      </c>
      <c r="H34" s="27">
        <f t="shared" si="15"/>
        <v>0.33825330132052822</v>
      </c>
      <c r="I34" s="27">
        <f t="shared" si="15"/>
        <v>0.32953281423804226</v>
      </c>
      <c r="J34" s="27">
        <f t="shared" si="15"/>
        <v>0.30616246498599436</v>
      </c>
      <c r="K34" s="27">
        <f t="shared" si="15"/>
        <v>0.31865730337078652</v>
      </c>
      <c r="L34" s="27">
        <f t="shared" si="15"/>
        <v>0.2701271186440678</v>
      </c>
      <c r="M34" s="27">
        <f t="shared" si="15"/>
        <v>0.22038567493112948</v>
      </c>
      <c r="N34" s="27">
        <f t="shared" si="15"/>
        <v>0.30474090407938259</v>
      </c>
      <c r="O34" s="27">
        <f t="shared" si="15"/>
        <v>0.38325991189427311</v>
      </c>
      <c r="P34" s="27">
        <f t="shared" si="15"/>
        <v>0.29330659313111057</v>
      </c>
      <c r="Q34" s="27">
        <f t="shared" si="15"/>
        <v>0.27664193043566054</v>
      </c>
      <c r="R34" s="27">
        <f t="shared" ref="R34:W34" si="16">R11/R10</f>
        <v>0.24621295279912186</v>
      </c>
      <c r="S34" s="27">
        <f t="shared" si="16"/>
        <v>0.34251412429378536</v>
      </c>
      <c r="T34" s="27">
        <f t="shared" si="16"/>
        <v>0.33453941514917845</v>
      </c>
      <c r="U34" s="27">
        <f t="shared" si="16"/>
        <v>0.31894070236039151</v>
      </c>
      <c r="V34" s="27">
        <f t="shared" si="16"/>
        <v>0.3002832861189802</v>
      </c>
      <c r="W34" s="27">
        <f t="shared" si="16"/>
        <v>0.29683333333333334</v>
      </c>
    </row>
    <row r="35" spans="1:23" x14ac:dyDescent="0.3">
      <c r="A35" s="16" t="s">
        <v>75</v>
      </c>
      <c r="B35" s="2" t="s">
        <v>36</v>
      </c>
      <c r="C35" s="1" t="s">
        <v>108</v>
      </c>
      <c r="D35" s="28">
        <f t="shared" ref="D35:Q35" si="17">D12/D6</f>
        <v>1.2808872839824608</v>
      </c>
      <c r="E35" s="28">
        <f t="shared" si="17"/>
        <v>0.26176311519740397</v>
      </c>
      <c r="F35" s="28">
        <f t="shared" si="17"/>
        <v>0.20976338229458749</v>
      </c>
      <c r="G35" s="28">
        <f t="shared" si="17"/>
        <v>0.22815462072699597</v>
      </c>
      <c r="H35" s="28">
        <f t="shared" si="17"/>
        <v>0.11287986941549105</v>
      </c>
      <c r="I35" s="28">
        <f t="shared" si="17"/>
        <v>0.13146921756193278</v>
      </c>
      <c r="J35" s="28">
        <f t="shared" si="17"/>
        <v>0.15235052453693945</v>
      </c>
      <c r="K35" s="28">
        <f t="shared" si="17"/>
        <v>0.15376911814107966</v>
      </c>
      <c r="L35" s="28">
        <f t="shared" si="17"/>
        <v>0.14919806042521447</v>
      </c>
      <c r="M35" s="28">
        <f t="shared" si="17"/>
        <v>0.14173332161378219</v>
      </c>
      <c r="N35" s="28">
        <f t="shared" si="17"/>
        <v>0.13550575290891093</v>
      </c>
      <c r="O35" s="28">
        <f t="shared" si="17"/>
        <v>0.16823319071149678</v>
      </c>
      <c r="P35" s="28">
        <f t="shared" si="17"/>
        <v>0.15912872485251853</v>
      </c>
      <c r="Q35" s="28">
        <f t="shared" si="17"/>
        <v>0.15112613757689766</v>
      </c>
      <c r="R35" s="28">
        <f t="shared" ref="R35:W35" si="18">R12/R6</f>
        <v>0.14406656732557066</v>
      </c>
      <c r="S35" s="28">
        <f t="shared" si="18"/>
        <v>0.13392776958111488</v>
      </c>
      <c r="T35" s="28">
        <f t="shared" si="18"/>
        <v>0.13949810482289896</v>
      </c>
      <c r="U35" s="28">
        <f t="shared" si="18"/>
        <v>0.14480696737293644</v>
      </c>
      <c r="V35" s="28">
        <f t="shared" si="18"/>
        <v>0.14229508196721311</v>
      </c>
      <c r="W35" s="28">
        <f t="shared" si="18"/>
        <v>0.14430297094351943</v>
      </c>
    </row>
    <row r="36" spans="1:23" x14ac:dyDescent="0.3">
      <c r="A36" s="18" t="s">
        <v>76</v>
      </c>
      <c r="B36" s="17" t="s">
        <v>37</v>
      </c>
      <c r="C36" s="6" t="s">
        <v>56</v>
      </c>
      <c r="D36" s="29">
        <f t="shared" ref="D36:Q36" si="19">IF(D26/D12&lt;0,0,D26/D12)</f>
        <v>3.3950372492952079</v>
      </c>
      <c r="E36" s="29">
        <f t="shared" si="19"/>
        <v>12.625219696969699</v>
      </c>
      <c r="F36" s="29">
        <f t="shared" si="19"/>
        <v>11.125436477237049</v>
      </c>
      <c r="G36" s="29">
        <f t="shared" si="19"/>
        <v>11.277761194029852</v>
      </c>
      <c r="H36" s="29">
        <f t="shared" si="19"/>
        <v>11.766851347234814</v>
      </c>
      <c r="I36" s="29">
        <f t="shared" si="19"/>
        <v>8.8134760182421221</v>
      </c>
      <c r="J36" s="29">
        <f t="shared" si="19"/>
        <v>8.381782399676375</v>
      </c>
      <c r="K36" s="29">
        <f t="shared" si="19"/>
        <v>9.2888705688375932</v>
      </c>
      <c r="L36" s="29">
        <f t="shared" si="19"/>
        <v>10.807319672872341</v>
      </c>
      <c r="M36" s="29">
        <f t="shared" si="19"/>
        <v>11.910629448751077</v>
      </c>
      <c r="N36" s="29">
        <f t="shared" si="19"/>
        <v>14.252137724550899</v>
      </c>
      <c r="O36" s="29">
        <f t="shared" si="19"/>
        <v>13.050684670373311</v>
      </c>
      <c r="P36" s="29">
        <f t="shared" si="19"/>
        <v>14.317102661596959</v>
      </c>
      <c r="Q36" s="29">
        <f t="shared" si="19"/>
        <v>15.262883095037848</v>
      </c>
      <c r="R36" s="29">
        <f t="shared" ref="R36:W36" si="20">IF(R26/R12&lt;0,0,R26/R12)</f>
        <v>14.781195881006864</v>
      </c>
      <c r="S36" s="29">
        <f t="shared" si="20"/>
        <v>16.262255005268702</v>
      </c>
      <c r="T36" s="29">
        <f t="shared" si="20"/>
        <v>15.686970861051247</v>
      </c>
      <c r="U36" s="29">
        <f t="shared" si="20"/>
        <v>15.030033213644524</v>
      </c>
      <c r="V36" s="29">
        <f t="shared" si="20"/>
        <v>15.434764976958526</v>
      </c>
      <c r="W36" s="29">
        <f t="shared" si="20"/>
        <v>15.157674208144794</v>
      </c>
    </row>
    <row r="37" spans="1:23" x14ac:dyDescent="0.3">
      <c r="A37" s="16" t="s">
        <v>77</v>
      </c>
      <c r="B37" s="2" t="s">
        <v>38</v>
      </c>
      <c r="C37" s="1" t="s">
        <v>57</v>
      </c>
      <c r="D37" s="20">
        <f t="shared" ref="D37:R37" si="21">D26/D23</f>
        <v>1.7815296207378981</v>
      </c>
      <c r="E37" s="20">
        <f t="shared" si="21"/>
        <v>1.8216526603128802</v>
      </c>
      <c r="F37" s="20">
        <f t="shared" si="21"/>
        <v>1.4010222711619134</v>
      </c>
      <c r="G37" s="20">
        <f t="shared" si="21"/>
        <v>1.5163771988533001</v>
      </c>
      <c r="H37" s="20">
        <f t="shared" si="21"/>
        <v>1.2700679455250559</v>
      </c>
      <c r="I37" s="20">
        <f t="shared" si="21"/>
        <v>1.0245471857140516</v>
      </c>
      <c r="J37" s="20">
        <f t="shared" si="21"/>
        <v>1.0081737976953822</v>
      </c>
      <c r="K37" s="20">
        <f t="shared" si="21"/>
        <v>1.0436971894261211</v>
      </c>
      <c r="L37" s="20">
        <f t="shared" si="21"/>
        <v>1.0735303677369983</v>
      </c>
      <c r="M37" s="20">
        <f t="shared" si="21"/>
        <v>1.1907665352896653</v>
      </c>
      <c r="N37" s="20">
        <f t="shared" si="21"/>
        <v>1.2319213745140039</v>
      </c>
      <c r="O37" s="20">
        <f t="shared" si="21"/>
        <v>1.1496598420502815</v>
      </c>
      <c r="P37" s="20">
        <f t="shared" si="21"/>
        <v>1.1318316163410302</v>
      </c>
      <c r="Q37" s="20">
        <f t="shared" si="21"/>
        <v>1.2549317474586823</v>
      </c>
      <c r="R37" s="20">
        <f t="shared" si="21"/>
        <v>1.1471518434325494</v>
      </c>
      <c r="S37" s="20">
        <f t="shared" ref="S37" si="22">S26/S23</f>
        <v>1.2413109096226966</v>
      </c>
      <c r="T37" s="20"/>
      <c r="U37" s="1"/>
      <c r="V37" s="1"/>
      <c r="W37" s="1"/>
    </row>
    <row r="38" spans="1:23" x14ac:dyDescent="0.3">
      <c r="A38" s="18" t="s">
        <v>78</v>
      </c>
      <c r="B38" s="17" t="s">
        <v>39</v>
      </c>
      <c r="C38" s="6" t="s">
        <v>106</v>
      </c>
      <c r="D38" s="55">
        <f t="shared" ref="D38:R38" si="23">D8/D23</f>
        <v>0.60315058476442462</v>
      </c>
      <c r="E38" s="55">
        <f t="shared" si="23"/>
        <v>0.26323399206422549</v>
      </c>
      <c r="F38" s="55">
        <f t="shared" si="23"/>
        <v>0.23426472507008173</v>
      </c>
      <c r="G38" s="55">
        <f t="shared" si="23"/>
        <v>0.25958284124306763</v>
      </c>
      <c r="H38" s="55">
        <f t="shared" si="23"/>
        <v>0.24513137769705678</v>
      </c>
      <c r="I38" s="55">
        <f t="shared" si="23"/>
        <v>0.27297990532455402</v>
      </c>
      <c r="J38" s="55">
        <f t="shared" si="23"/>
        <v>0.30576426956691832</v>
      </c>
      <c r="K38" s="55">
        <f t="shared" si="23"/>
        <v>0.29669330082644324</v>
      </c>
      <c r="L38" s="55">
        <f t="shared" si="23"/>
        <v>0.26647480950045221</v>
      </c>
      <c r="M38" s="55">
        <f t="shared" si="23"/>
        <v>0.2414558305469181</v>
      </c>
      <c r="N38" s="55">
        <f t="shared" si="23"/>
        <v>0.2254107729614041</v>
      </c>
      <c r="O38" s="55">
        <f t="shared" si="23"/>
        <v>0.18576969176225117</v>
      </c>
      <c r="P38" s="55">
        <f t="shared" si="23"/>
        <v>0.17595299904358519</v>
      </c>
      <c r="Q38" s="55">
        <f t="shared" si="23"/>
        <v>0.17313463799184015</v>
      </c>
      <c r="R38" s="55">
        <f t="shared" si="23"/>
        <v>0.16258435746252753</v>
      </c>
      <c r="S38" s="55">
        <f t="shared" ref="S38" si="24">S8/S23</f>
        <v>0.15865750219362387</v>
      </c>
      <c r="T38" s="55"/>
      <c r="U38" s="1"/>
      <c r="V38" s="1"/>
      <c r="W38" s="1"/>
    </row>
    <row r="39" spans="1:23" x14ac:dyDescent="0.3">
      <c r="A39" s="16" t="s">
        <v>79</v>
      </c>
      <c r="B39" s="2" t="s">
        <v>40</v>
      </c>
      <c r="C39" s="1" t="s">
        <v>107</v>
      </c>
      <c r="D39" s="56">
        <f t="shared" ref="D39:R39" si="25">D12/D23</f>
        <v>0.52474523544851659</v>
      </c>
      <c r="E39" s="56">
        <f t="shared" si="25"/>
        <v>0.14428680878718589</v>
      </c>
      <c r="F39" s="56">
        <f t="shared" si="25"/>
        <v>0.12592964545961355</v>
      </c>
      <c r="G39" s="56">
        <f t="shared" si="25"/>
        <v>0.13445728924070763</v>
      </c>
      <c r="H39" s="56">
        <f t="shared" si="25"/>
        <v>0.10793609165662819</v>
      </c>
      <c r="I39" s="56">
        <f t="shared" si="25"/>
        <v>0.11624779866575287</v>
      </c>
      <c r="J39" s="56">
        <f t="shared" si="25"/>
        <v>0.12028155225484119</v>
      </c>
      <c r="K39" s="56">
        <f t="shared" si="25"/>
        <v>0.11235996687557777</v>
      </c>
      <c r="L39" s="56">
        <f t="shared" si="25"/>
        <v>9.9333636852779267E-2</v>
      </c>
      <c r="M39" s="56">
        <f t="shared" si="25"/>
        <v>9.9975113860546333E-2</v>
      </c>
      <c r="N39" s="56">
        <f t="shared" si="25"/>
        <v>8.6437655762467244E-2</v>
      </c>
      <c r="O39" s="56">
        <f t="shared" si="25"/>
        <v>8.8091917863907437E-2</v>
      </c>
      <c r="P39" s="56">
        <f t="shared" si="25"/>
        <v>7.9054515644213688E-2</v>
      </c>
      <c r="Q39" s="56">
        <f t="shared" si="25"/>
        <v>8.2221146532051731E-2</v>
      </c>
      <c r="R39" s="56">
        <f t="shared" si="25"/>
        <v>7.7608865525324991E-2</v>
      </c>
      <c r="S39" s="56">
        <f t="shared" ref="S39" si="26">S12/S23</f>
        <v>7.6330798479087456E-2</v>
      </c>
      <c r="T39" s="56"/>
      <c r="U39" s="1"/>
      <c r="V39" s="1"/>
      <c r="W39" s="1"/>
    </row>
    <row r="40" spans="1:23" x14ac:dyDescent="0.3">
      <c r="A40" s="18" t="s">
        <v>80</v>
      </c>
      <c r="B40" s="17" t="s">
        <v>41</v>
      </c>
      <c r="C40" s="6" t="s">
        <v>61</v>
      </c>
      <c r="D40" s="7">
        <f t="shared" ref="D40:R40" si="27">D20-D19</f>
        <v>-1210.0730000000001</v>
      </c>
      <c r="E40" s="7">
        <f t="shared" si="27"/>
        <v>-1062.6680000000001</v>
      </c>
      <c r="F40" s="7">
        <f t="shared" si="27"/>
        <v>-580.55500000000006</v>
      </c>
      <c r="G40" s="7">
        <f t="shared" si="27"/>
        <v>-372.84399999999994</v>
      </c>
      <c r="H40" s="7">
        <f t="shared" si="27"/>
        <v>-435.69599999999997</v>
      </c>
      <c r="I40" s="7">
        <f t="shared" si="27"/>
        <v>-244.98100000000005</v>
      </c>
      <c r="J40" s="7">
        <f t="shared" si="27"/>
        <v>-1142.2080000000001</v>
      </c>
      <c r="K40" s="7">
        <f t="shared" si="27"/>
        <v>-183.61099999999999</v>
      </c>
      <c r="L40" s="7">
        <f t="shared" si="27"/>
        <v>-347.596</v>
      </c>
      <c r="M40" s="7">
        <f t="shared" si="27"/>
        <v>-636.30799999999999</v>
      </c>
      <c r="N40" s="7">
        <f t="shared" si="27"/>
        <v>-94.91900000000004</v>
      </c>
      <c r="O40" s="7">
        <f t="shared" si="27"/>
        <v>-522.36500000000012</v>
      </c>
      <c r="P40" s="7">
        <f t="shared" si="27"/>
        <v>-350.99999999999994</v>
      </c>
      <c r="Q40" s="7">
        <f t="shared" si="27"/>
        <v>-732.60000000000014</v>
      </c>
      <c r="R40" s="7">
        <f t="shared" si="27"/>
        <v>-413</v>
      </c>
      <c r="S40" s="7">
        <f t="shared" ref="S40" si="28">S20-S19</f>
        <v>-168.20000000000005</v>
      </c>
      <c r="T40" s="7"/>
      <c r="U40" s="1"/>
      <c r="V40" s="1"/>
      <c r="W40" s="1"/>
    </row>
    <row r="41" spans="1:23" x14ac:dyDescent="0.3">
      <c r="A41" s="53" t="s">
        <v>96</v>
      </c>
      <c r="B41" s="49" t="s">
        <v>42</v>
      </c>
      <c r="C41" s="52" t="s">
        <v>98</v>
      </c>
      <c r="D41" s="57">
        <f t="shared" ref="D41:R41" si="29">D20/D19</f>
        <v>0.29399035333942836</v>
      </c>
      <c r="E41" s="57">
        <f t="shared" si="29"/>
        <v>0.39560593935857336</v>
      </c>
      <c r="F41" s="57">
        <f t="shared" si="29"/>
        <v>0.41398687374203325</v>
      </c>
      <c r="G41" s="57">
        <f t="shared" si="29"/>
        <v>0.63475277699135679</v>
      </c>
      <c r="H41" s="57">
        <f t="shared" si="29"/>
        <v>0.53198473807232227</v>
      </c>
      <c r="I41" s="57">
        <f t="shared" si="29"/>
        <v>0.56250658523300556</v>
      </c>
      <c r="J41" s="57">
        <f t="shared" si="29"/>
        <v>0.25864876670576115</v>
      </c>
      <c r="K41" s="57">
        <f t="shared" si="29"/>
        <v>0.80511055280115573</v>
      </c>
      <c r="L41" s="57">
        <f t="shared" si="29"/>
        <v>0.65414400152831109</v>
      </c>
      <c r="M41" s="57">
        <f t="shared" si="29"/>
        <v>0.34642386493545979</v>
      </c>
      <c r="N41" s="57">
        <f t="shared" si="29"/>
        <v>0.82955000511786348</v>
      </c>
      <c r="O41" s="57">
        <f t="shared" si="29"/>
        <v>0.53675851121378459</v>
      </c>
      <c r="P41" s="57">
        <f t="shared" si="29"/>
        <v>0.5876894161870081</v>
      </c>
      <c r="Q41" s="57">
        <f t="shared" si="29"/>
        <v>0.35047433283092472</v>
      </c>
      <c r="R41" s="57">
        <f t="shared" si="29"/>
        <v>0.55351351351351352</v>
      </c>
      <c r="S41" s="57">
        <f t="shared" ref="S41" si="30">S20/S19</f>
        <v>0.82174650275540484</v>
      </c>
      <c r="T41" s="57"/>
      <c r="U41" s="1"/>
      <c r="V41" s="1"/>
      <c r="W41" s="1"/>
    </row>
    <row r="42" spans="1:23" x14ac:dyDescent="0.3">
      <c r="A42" s="18" t="s">
        <v>81</v>
      </c>
      <c r="B42" s="17" t="s">
        <v>43</v>
      </c>
      <c r="C42" s="6" t="s">
        <v>60</v>
      </c>
      <c r="D42" s="29">
        <f t="shared" ref="D42:R42" si="31">(D20-D21)/D19</f>
        <v>0.29218809529505047</v>
      </c>
      <c r="E42" s="29">
        <f t="shared" si="31"/>
        <v>0.3938581658786614</v>
      </c>
      <c r="F42" s="29">
        <f t="shared" si="31"/>
        <v>0.4055442390424413</v>
      </c>
      <c r="G42" s="29">
        <f t="shared" si="31"/>
        <v>0.61144848300204058</v>
      </c>
      <c r="H42" s="29">
        <f t="shared" si="31"/>
        <v>0.52763753781108202</v>
      </c>
      <c r="I42" s="29">
        <f t="shared" si="31"/>
        <v>0.5560276088684114</v>
      </c>
      <c r="J42" s="29">
        <f t="shared" si="31"/>
        <v>0.25675353781468424</v>
      </c>
      <c r="K42" s="29">
        <f t="shared" si="31"/>
        <v>0.80311507235208768</v>
      </c>
      <c r="L42" s="29">
        <f t="shared" si="31"/>
        <v>0.65237390687451435</v>
      </c>
      <c r="M42" s="29">
        <f t="shared" si="31"/>
        <v>0.34335785796530122</v>
      </c>
      <c r="N42" s="29">
        <f t="shared" si="31"/>
        <v>0.8277039827752467</v>
      </c>
      <c r="O42" s="29">
        <f t="shared" si="31"/>
        <v>0.53413531034115802</v>
      </c>
      <c r="P42" s="29">
        <f t="shared" si="31"/>
        <v>0.5852226007282979</v>
      </c>
      <c r="Q42" s="29">
        <f t="shared" si="31"/>
        <v>0.34701657948399683</v>
      </c>
      <c r="R42" s="29">
        <f t="shared" si="31"/>
        <v>0.55081081081081085</v>
      </c>
      <c r="S42" s="29">
        <f t="shared" ref="S42" si="32">(S20-S21)/S19</f>
        <v>0.81909707503179308</v>
      </c>
      <c r="T42" s="29"/>
      <c r="U42" s="1"/>
      <c r="V42" s="1"/>
      <c r="W42" s="1"/>
    </row>
    <row r="43" spans="1:23" x14ac:dyDescent="0.3">
      <c r="A43" s="16" t="s">
        <v>82</v>
      </c>
      <c r="B43" s="49" t="s">
        <v>44</v>
      </c>
      <c r="C43" s="1" t="s">
        <v>62</v>
      </c>
      <c r="D43" s="30">
        <f t="shared" ref="D43:R43" si="33">D14/D19</f>
        <v>1.3985149020310263E-2</v>
      </c>
      <c r="E43" s="30">
        <f t="shared" si="33"/>
        <v>5.8134938577677528E-2</v>
      </c>
      <c r="F43" s="30">
        <f t="shared" si="33"/>
        <v>0.10238461025996128</v>
      </c>
      <c r="G43" s="30">
        <f t="shared" si="33"/>
        <v>6.8464016912242284E-2</v>
      </c>
      <c r="H43" s="30">
        <f t="shared" si="33"/>
        <v>0.14887898735047439</v>
      </c>
      <c r="I43" s="30">
        <f t="shared" si="33"/>
        <v>0.12394881822971077</v>
      </c>
      <c r="J43" s="30">
        <f t="shared" si="33"/>
        <v>3.9751776939348137E-2</v>
      </c>
      <c r="K43" s="30">
        <f t="shared" si="33"/>
        <v>0.17830573095616417</v>
      </c>
      <c r="L43" s="30">
        <f t="shared" si="33"/>
        <v>0.11203535015337836</v>
      </c>
      <c r="M43" s="30">
        <f t="shared" si="33"/>
        <v>6.6969398477165182E-2</v>
      </c>
      <c r="N43" s="30">
        <f t="shared" si="33"/>
        <v>2.1728473098893281E-2</v>
      </c>
      <c r="O43" s="30">
        <f t="shared" si="33"/>
        <v>5.4539166215868677E-2</v>
      </c>
      <c r="P43" s="30">
        <f t="shared" si="33"/>
        <v>4.1935862798073542E-2</v>
      </c>
      <c r="Q43" s="30">
        <f t="shared" si="33"/>
        <v>1.8618671868073408E-2</v>
      </c>
      <c r="R43" s="30">
        <f t="shared" si="33"/>
        <v>6.6486486486486487E-2</v>
      </c>
      <c r="S43" s="30">
        <f t="shared" ref="S43" si="34">S14/S19</f>
        <v>0.4828317083509962</v>
      </c>
      <c r="T43" s="30"/>
      <c r="U43" s="1"/>
      <c r="V43" s="1"/>
      <c r="W43" s="1"/>
    </row>
    <row r="44" spans="1:23" x14ac:dyDescent="0.3">
      <c r="A44" s="75" t="s">
        <v>83</v>
      </c>
      <c r="B44" s="17" t="s">
        <v>45</v>
      </c>
      <c r="C44" s="6" t="s">
        <v>63</v>
      </c>
      <c r="D44" s="29">
        <f t="shared" ref="D44:R44" si="35">D29/D7</f>
        <v>2.6158855854586442</v>
      </c>
      <c r="E44" s="29">
        <f t="shared" si="35"/>
        <v>5.0266366675237855</v>
      </c>
      <c r="F44" s="29">
        <f t="shared" si="35"/>
        <v>4.7399100081810746</v>
      </c>
      <c r="G44" s="29">
        <f t="shared" si="35"/>
        <v>5.5949934912783137</v>
      </c>
      <c r="H44" s="29">
        <f t="shared" si="35"/>
        <v>4.919010199350951</v>
      </c>
      <c r="I44" s="29">
        <f t="shared" si="35"/>
        <v>4.9824042328042317</v>
      </c>
      <c r="J44" s="29">
        <f t="shared" si="35"/>
        <v>5.2256020328381547</v>
      </c>
      <c r="K44" s="29">
        <f t="shared" si="35"/>
        <v>4.8836299137104504</v>
      </c>
      <c r="L44" s="29">
        <f t="shared" si="35"/>
        <v>4.8754968329374497</v>
      </c>
      <c r="M44" s="29">
        <f t="shared" si="35"/>
        <v>4.9967326934858081</v>
      </c>
      <c r="N44" s="29">
        <f t="shared" si="35"/>
        <v>5.1993697478991603</v>
      </c>
      <c r="O44" s="29">
        <f t="shared" si="35"/>
        <v>5.5961025641025639</v>
      </c>
      <c r="P44" s="29">
        <f t="shared" si="35"/>
        <v>5.374974608978266</v>
      </c>
      <c r="Q44" s="29">
        <f t="shared" si="35"/>
        <v>5.8088477366255145</v>
      </c>
      <c r="R44" s="29">
        <f t="shared" si="35"/>
        <v>5.8438962143768611</v>
      </c>
      <c r="S44" s="29">
        <f t="shared" ref="S44" si="36">S29/S7</f>
        <v>5.1755034578748207</v>
      </c>
      <c r="T44" s="29"/>
      <c r="U44" s="1"/>
      <c r="V44" s="1"/>
      <c r="W44" s="1"/>
    </row>
    <row r="45" spans="1:23" x14ac:dyDescent="0.3">
      <c r="A45" s="16" t="s">
        <v>84</v>
      </c>
      <c r="B45" s="54" t="s">
        <v>99</v>
      </c>
      <c r="C45" s="1" t="s">
        <v>64</v>
      </c>
      <c r="D45" s="30">
        <f t="shared" ref="D45:R45" si="37">D18/D23</f>
        <v>3.1269870789675007</v>
      </c>
      <c r="E45" s="30">
        <f t="shared" si="37"/>
        <v>2.944568823913452</v>
      </c>
      <c r="F45" s="30">
        <f t="shared" si="37"/>
        <v>2.7788847417552653</v>
      </c>
      <c r="G45" s="30">
        <f t="shared" si="37"/>
        <v>3.3087681203774033</v>
      </c>
      <c r="H45" s="30">
        <f t="shared" si="37"/>
        <v>3.3649081466795709</v>
      </c>
      <c r="I45" s="30">
        <f t="shared" si="37"/>
        <v>3.3122294419238139</v>
      </c>
      <c r="J45" s="30">
        <f t="shared" si="37"/>
        <v>3.5602414973301588</v>
      </c>
      <c r="K45" s="30">
        <f t="shared" si="37"/>
        <v>3.6883182686375822</v>
      </c>
      <c r="L45" s="30">
        <f t="shared" si="37"/>
        <v>3.3368246875789804</v>
      </c>
      <c r="M45" s="30">
        <f t="shared" si="37"/>
        <v>2.9524640291951445</v>
      </c>
      <c r="N45" s="30">
        <f t="shared" si="37"/>
        <v>2.9249122468010733</v>
      </c>
      <c r="O45" s="30">
        <f t="shared" si="37"/>
        <v>2.7536504968901943</v>
      </c>
      <c r="P45" s="30">
        <f t="shared" si="37"/>
        <v>2.5465910643530538</v>
      </c>
      <c r="Q45" s="30">
        <f t="shared" si="37"/>
        <v>2.6686951109881751</v>
      </c>
      <c r="R45" s="30">
        <f t="shared" si="37"/>
        <v>2.7285643247851104</v>
      </c>
      <c r="S45" s="30">
        <f t="shared" ref="S45" si="38">S18/S23</f>
        <v>3.0431412693770112</v>
      </c>
      <c r="T45" s="30"/>
      <c r="U45" s="1"/>
      <c r="V45" s="1"/>
      <c r="W45" s="1"/>
    </row>
    <row r="46" spans="1:23" x14ac:dyDescent="0.3">
      <c r="A46" s="18" t="s">
        <v>97</v>
      </c>
      <c r="B46" s="17" t="s">
        <v>100</v>
      </c>
      <c r="C46" s="6" t="s">
        <v>111</v>
      </c>
      <c r="D46" s="72">
        <f>D13/D4</f>
        <v>0.26202531645569616</v>
      </c>
      <c r="E46" s="72">
        <f t="shared" ref="E46:W46" si="39">E13/E4</f>
        <v>5.2785923753665684E-2</v>
      </c>
      <c r="F46" s="72">
        <f t="shared" si="39"/>
        <v>6.1423220973782777E-2</v>
      </c>
      <c r="G46" s="72">
        <f t="shared" si="39"/>
        <v>5.9010600706713781E-2</v>
      </c>
      <c r="H46" s="72">
        <f t="shared" si="39"/>
        <v>6.9135802469135796E-2</v>
      </c>
      <c r="I46" s="72">
        <f t="shared" si="39"/>
        <v>8.4924623115577899E-2</v>
      </c>
      <c r="J46" s="72">
        <f t="shared" si="39"/>
        <v>8.7628865979381451E-2</v>
      </c>
      <c r="K46" s="72">
        <f t="shared" si="39"/>
        <v>8.1042654028436023E-2</v>
      </c>
      <c r="L46" s="72">
        <f t="shared" si="39"/>
        <v>7.533039647577093E-2</v>
      </c>
      <c r="M46" s="72">
        <f t="shared" si="39"/>
        <v>6.5267175572519084E-2</v>
      </c>
      <c r="N46" s="72">
        <f t="shared" si="39"/>
        <v>6.7322834645669294E-2</v>
      </c>
      <c r="O46" s="72">
        <f t="shared" si="39"/>
        <v>6.8979427188382417E-2</v>
      </c>
      <c r="P46" s="72">
        <f t="shared" si="39"/>
        <v>7.0254724732949872E-2</v>
      </c>
      <c r="Q46" s="72">
        <f t="shared" si="39"/>
        <v>6.25E-2</v>
      </c>
      <c r="R46" s="72">
        <f t="shared" si="39"/>
        <v>7.1881606765327691E-2</v>
      </c>
      <c r="S46" s="72">
        <f t="shared" si="39"/>
        <v>6.286836935166995E-2</v>
      </c>
      <c r="T46" s="72">
        <f t="shared" si="39"/>
        <v>6.7729083665338655E-2</v>
      </c>
      <c r="U46" s="72">
        <f t="shared" si="39"/>
        <v>5.9760956175298807E-2</v>
      </c>
      <c r="V46" s="72">
        <f t="shared" si="39"/>
        <v>5.9760956175298807E-2</v>
      </c>
      <c r="W46" s="72">
        <f t="shared" si="39"/>
        <v>5.9760956175298807E-2</v>
      </c>
    </row>
  </sheetData>
  <mergeCells count="2">
    <mergeCell ref="A6:A13"/>
    <mergeCell ref="A14:A2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C87F-FEFB-4CA1-BC8F-587755C21BEE}">
  <sheetPr codeName="Planilha35"/>
  <dimension ref="A3:AG46"/>
  <sheetViews>
    <sheetView workbookViewId="0">
      <pane xSplit="3" ySplit="3" topLeftCell="N4" activePane="bottomRight" state="frozen"/>
      <selection activeCell="C22" sqref="C22"/>
      <selection pane="topRight" activeCell="C22" sqref="C22"/>
      <selection pane="bottomLeft" activeCell="C22" sqref="C22"/>
      <selection pane="bottomRight" activeCell="AG29" sqref="AG29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1" width="8.33203125" customWidth="1"/>
  </cols>
  <sheetData>
    <row r="3" spans="1:33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8" t="s">
        <v>94</v>
      </c>
      <c r="AG3" s="8" t="s">
        <v>116</v>
      </c>
    </row>
    <row r="4" spans="1:33" x14ac:dyDescent="0.3">
      <c r="A4" s="4" t="s">
        <v>5</v>
      </c>
      <c r="B4" s="11">
        <v>1</v>
      </c>
      <c r="C4" s="6" t="s">
        <v>4</v>
      </c>
      <c r="D4" s="19">
        <v>1.17</v>
      </c>
      <c r="E4" s="19">
        <v>1.51</v>
      </c>
      <c r="F4" s="19">
        <v>2.62</v>
      </c>
      <c r="G4" s="19">
        <v>4.22</v>
      </c>
      <c r="H4" s="19">
        <v>3.18</v>
      </c>
      <c r="I4" s="19">
        <v>3.24</v>
      </c>
      <c r="J4" s="19">
        <v>3.63</v>
      </c>
      <c r="K4" s="19">
        <v>4.47</v>
      </c>
      <c r="L4" s="19">
        <v>3.12</v>
      </c>
      <c r="M4" s="19">
        <v>3.4</v>
      </c>
      <c r="N4" s="19">
        <v>3.87</v>
      </c>
      <c r="O4" s="19">
        <v>6.43</v>
      </c>
      <c r="P4" s="19">
        <v>8.35</v>
      </c>
      <c r="Q4" s="19">
        <v>8.2799999999999994</v>
      </c>
      <c r="R4" s="19">
        <v>6.04</v>
      </c>
      <c r="S4" s="19">
        <v>7.33</v>
      </c>
      <c r="T4" s="19">
        <v>7.82</v>
      </c>
      <c r="U4" s="19">
        <v>5.07</v>
      </c>
      <c r="V4" s="19">
        <v>5.37</v>
      </c>
      <c r="W4" s="19">
        <v>7.69</v>
      </c>
      <c r="X4" s="19">
        <v>9.4600000000000009</v>
      </c>
      <c r="Y4" s="19">
        <v>12.7</v>
      </c>
      <c r="Z4" s="19">
        <v>13.4</v>
      </c>
      <c r="AA4" s="19">
        <v>17.795000000000002</v>
      </c>
      <c r="AB4" s="19">
        <v>13.1</v>
      </c>
      <c r="AC4" s="19">
        <v>13.72</v>
      </c>
      <c r="AD4" s="19">
        <v>9</v>
      </c>
      <c r="AE4" s="19">
        <v>11.7</v>
      </c>
      <c r="AF4" s="19">
        <v>12.14</v>
      </c>
      <c r="AG4" s="19">
        <v>12.14</v>
      </c>
    </row>
    <row r="5" spans="1:33" x14ac:dyDescent="0.3">
      <c r="A5" s="5" t="s">
        <v>8</v>
      </c>
      <c r="B5" s="12">
        <v>3</v>
      </c>
      <c r="C5" s="1" t="s">
        <v>86</v>
      </c>
      <c r="D5" s="3"/>
      <c r="E5" s="3">
        <v>118</v>
      </c>
      <c r="F5" s="3">
        <v>118</v>
      </c>
      <c r="G5" s="3">
        <v>118</v>
      </c>
      <c r="H5" s="3">
        <v>118</v>
      </c>
      <c r="I5" s="3">
        <v>118</v>
      </c>
      <c r="J5" s="3">
        <v>117</v>
      </c>
      <c r="K5" s="3">
        <v>118</v>
      </c>
      <c r="L5" s="3">
        <v>116</v>
      </c>
      <c r="M5" s="3">
        <v>116</v>
      </c>
      <c r="N5" s="3">
        <v>116</v>
      </c>
      <c r="O5" s="3">
        <v>116</v>
      </c>
      <c r="P5" s="3">
        <v>116</v>
      </c>
      <c r="Q5" s="3">
        <v>113</v>
      </c>
      <c r="R5" s="3">
        <v>111</v>
      </c>
      <c r="S5" s="3">
        <v>111</v>
      </c>
      <c r="T5" s="3">
        <v>113</v>
      </c>
      <c r="U5" s="3">
        <v>113</v>
      </c>
      <c r="V5" s="3">
        <v>113</v>
      </c>
      <c r="W5" s="3">
        <v>113</v>
      </c>
      <c r="X5" s="3">
        <v>111.2</v>
      </c>
      <c r="Y5" s="3">
        <v>81.645522999999997</v>
      </c>
      <c r="Z5" s="3">
        <v>81.2</v>
      </c>
      <c r="AA5" s="3">
        <v>80.683671000000004</v>
      </c>
      <c r="AB5" s="3">
        <v>80.683671000000004</v>
      </c>
      <c r="AC5" s="3">
        <v>80.27</v>
      </c>
      <c r="AD5" s="3">
        <v>80.683671000000004</v>
      </c>
      <c r="AE5" s="3">
        <v>79.869372999999996</v>
      </c>
      <c r="AF5" s="3">
        <v>79.869372999999996</v>
      </c>
      <c r="AG5" s="3">
        <v>79.869372999999996</v>
      </c>
    </row>
    <row r="6" spans="1:33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>
        <f>(72650660*5)/1000000</f>
        <v>363.25330000000002</v>
      </c>
      <c r="I6" s="7">
        <f>(79281296*5)/1000000</f>
        <v>396.40647999999999</v>
      </c>
      <c r="J6" s="7">
        <v>465.24460800000003</v>
      </c>
      <c r="K6" s="7">
        <v>500.60350399999999</v>
      </c>
      <c r="L6" s="7">
        <v>491.06051100000002</v>
      </c>
      <c r="M6" s="7">
        <v>417.82124499999998</v>
      </c>
      <c r="N6" s="7">
        <f>716.823947+19.953185</f>
        <v>736.77713199999994</v>
      </c>
      <c r="O6" s="7">
        <f>1487.47472+42.240217</f>
        <v>1529.714937</v>
      </c>
      <c r="P6" s="7">
        <v>1506.711135</v>
      </c>
      <c r="Q6" s="7">
        <v>1404.209668</v>
      </c>
      <c r="R6" s="7">
        <f>1404.769228+36.970861</f>
        <v>1441.7400890000001</v>
      </c>
      <c r="S6" s="7">
        <f>1381.14256+35.287857</f>
        <v>1416.430417</v>
      </c>
      <c r="T6" s="7">
        <f>1653.001567+35.234753</f>
        <v>1688.23632</v>
      </c>
      <c r="U6" s="7">
        <f>1745.533739+34.210792</f>
        <v>1779.7445310000001</v>
      </c>
      <c r="V6" s="7">
        <f>1907.469953+45.117965</f>
        <v>1952.5879179999999</v>
      </c>
      <c r="W6" s="7">
        <f>1947.410132+43.100332</f>
        <v>1990.510464</v>
      </c>
      <c r="X6" s="7">
        <f>1962.19671+35.959184</f>
        <v>1998.155894</v>
      </c>
      <c r="Y6" s="7">
        <f>2099.937636+32.398054</f>
        <v>2132.3356899999999</v>
      </c>
      <c r="Z6" s="7">
        <f>2054.27995+20.334993</f>
        <v>2074.614943</v>
      </c>
      <c r="AA6" s="7">
        <f>2137.820694+26.832584</f>
        <v>2164.6532780000002</v>
      </c>
      <c r="AB6" s="7">
        <v>2198</v>
      </c>
      <c r="AC6" s="7">
        <v>2229</v>
      </c>
      <c r="AD6" s="7">
        <v>1867</v>
      </c>
      <c r="AE6" s="7">
        <v>2066</v>
      </c>
      <c r="AF6" s="3">
        <v>2149</v>
      </c>
      <c r="AG6" s="3">
        <v>2101</v>
      </c>
    </row>
    <row r="7" spans="1:33" x14ac:dyDescent="0.3">
      <c r="A7" s="101"/>
      <c r="B7" s="13">
        <v>5</v>
      </c>
      <c r="C7" s="1" t="s">
        <v>9</v>
      </c>
      <c r="D7" s="3"/>
      <c r="E7" s="3"/>
      <c r="F7" s="3"/>
      <c r="G7" s="3"/>
      <c r="H7" s="3">
        <f>H8+(10169687*5)/1000000</f>
        <v>135.82022000000001</v>
      </c>
      <c r="I7" s="3">
        <f>I8+(10170046*5)/1000000</f>
        <v>159.69648000000001</v>
      </c>
      <c r="J7" s="3">
        <f>J8+58.983611</f>
        <v>162.84451899999999</v>
      </c>
      <c r="K7" s="3">
        <f>K8+59.937406</f>
        <v>160.19987900000001</v>
      </c>
      <c r="L7" s="3">
        <f>L8+63.098647</f>
        <v>164.64709499999998</v>
      </c>
      <c r="M7" s="3">
        <f>M8+70.789849</f>
        <v>111.549815</v>
      </c>
      <c r="N7" s="3">
        <f>N8+77.70951</f>
        <v>353.50927300000001</v>
      </c>
      <c r="O7" s="3">
        <f>O8+169.080738</f>
        <v>726.87868900000001</v>
      </c>
      <c r="P7" s="3">
        <f>P8+138.003094</f>
        <v>413.68422999999996</v>
      </c>
      <c r="Q7" s="3">
        <f>Q8+116.83024</f>
        <v>420.12087500000001</v>
      </c>
      <c r="R7" s="3">
        <f>R8+124.179046</f>
        <v>341.088099</v>
      </c>
      <c r="S7" s="3">
        <f>S8+160.290426</f>
        <v>314.50804500000004</v>
      </c>
      <c r="T7" s="3">
        <f>T8+166.380145</f>
        <v>449.19535099999996</v>
      </c>
      <c r="U7" s="3">
        <f>U8+165.454459</f>
        <v>428.59244000000001</v>
      </c>
      <c r="V7" s="3">
        <f>V8+199.81272</f>
        <v>504.29499400000003</v>
      </c>
      <c r="W7" s="3">
        <f>W8+169.408637</f>
        <v>408.008915</v>
      </c>
      <c r="X7" s="3">
        <f>X8+172.287575</f>
        <v>398.32267000000002</v>
      </c>
      <c r="Y7" s="3">
        <f>Y8+199.260701</f>
        <v>487.14896999999996</v>
      </c>
      <c r="Z7" s="3">
        <v>489.1</v>
      </c>
      <c r="AA7" s="3">
        <v>500.7</v>
      </c>
      <c r="AB7" s="3">
        <v>548.5</v>
      </c>
      <c r="AC7" s="3">
        <v>486.8</v>
      </c>
      <c r="AD7" s="3">
        <v>419.3</v>
      </c>
      <c r="AE7" s="3">
        <v>459.8</v>
      </c>
      <c r="AF7" s="3">
        <v>455.33</v>
      </c>
      <c r="AG7" s="3">
        <v>452.17</v>
      </c>
    </row>
    <row r="8" spans="1:33" x14ac:dyDescent="0.3">
      <c r="A8" s="101"/>
      <c r="B8" s="13">
        <v>6</v>
      </c>
      <c r="C8" s="6" t="s">
        <v>10</v>
      </c>
      <c r="D8" s="7"/>
      <c r="E8" s="7"/>
      <c r="F8" s="7"/>
      <c r="G8" s="7"/>
      <c r="H8" s="7">
        <f>(16994357*5)/1000000</f>
        <v>84.971784999999997</v>
      </c>
      <c r="I8" s="7">
        <f>(21769250*5)/1000000</f>
        <v>108.84625</v>
      </c>
      <c r="J8" s="7">
        <v>103.86090799999999</v>
      </c>
      <c r="K8" s="7">
        <v>100.262473</v>
      </c>
      <c r="L8" s="7">
        <v>101.54844799999999</v>
      </c>
      <c r="M8" s="7">
        <v>40.759965999999999</v>
      </c>
      <c r="N8" s="7">
        <v>275.79976299999998</v>
      </c>
      <c r="O8" s="7">
        <v>557.79795100000001</v>
      </c>
      <c r="P8" s="7">
        <v>275.68113599999998</v>
      </c>
      <c r="Q8" s="7">
        <v>303.29063500000001</v>
      </c>
      <c r="R8" s="7">
        <v>216.909053</v>
      </c>
      <c r="S8" s="7">
        <v>154.21761900000001</v>
      </c>
      <c r="T8" s="7">
        <v>282.81520599999999</v>
      </c>
      <c r="U8" s="7">
        <v>263.13798100000002</v>
      </c>
      <c r="V8" s="7">
        <v>304.48227400000002</v>
      </c>
      <c r="W8" s="7">
        <v>238.600278</v>
      </c>
      <c r="X8" s="7">
        <v>226.03509500000001</v>
      </c>
      <c r="Y8" s="7">
        <v>287.88826899999998</v>
      </c>
      <c r="Z8" s="7">
        <v>244.53552500000001</v>
      </c>
      <c r="AA8" s="7">
        <v>272.26201400000002</v>
      </c>
      <c r="AB8" s="7">
        <v>313.7</v>
      </c>
      <c r="AC8" s="7">
        <v>240.96</v>
      </c>
      <c r="AD8" s="7">
        <v>199.2</v>
      </c>
      <c r="AE8" s="7">
        <v>251.21</v>
      </c>
      <c r="AF8" s="3">
        <v>236.45</v>
      </c>
      <c r="AG8" s="3">
        <v>231.13</v>
      </c>
    </row>
    <row r="9" spans="1:33" x14ac:dyDescent="0.3">
      <c r="A9" s="101"/>
      <c r="B9" s="13">
        <v>11</v>
      </c>
      <c r="C9" s="1" t="s">
        <v>11</v>
      </c>
      <c r="D9" s="3"/>
      <c r="E9" s="3"/>
      <c r="F9" s="3"/>
      <c r="G9" s="3"/>
      <c r="H9" s="3">
        <f>(666356*5)/1000000</f>
        <v>3.3317800000000002</v>
      </c>
      <c r="I9" s="3">
        <f>-(291597*5)/1000000</f>
        <v>-1.4579850000000001</v>
      </c>
      <c r="J9" s="3">
        <v>-15.804812</v>
      </c>
      <c r="K9" s="3">
        <v>-10.196543</v>
      </c>
      <c r="L9" s="3">
        <v>-22.253211</v>
      </c>
      <c r="M9" s="3">
        <v>-2.8267099999999998</v>
      </c>
      <c r="N9" s="3">
        <v>-35.929488999999997</v>
      </c>
      <c r="O9" s="3">
        <v>-100.654043</v>
      </c>
      <c r="P9" s="3">
        <v>-50.964236999999997</v>
      </c>
      <c r="Q9" s="3">
        <v>-58.574635000000001</v>
      </c>
      <c r="R9" s="3">
        <v>-56.178300999999998</v>
      </c>
      <c r="S9" s="3">
        <v>-26.603619999999999</v>
      </c>
      <c r="T9" s="3">
        <v>-44.841506000000003</v>
      </c>
      <c r="U9" s="3">
        <v>-38.44829</v>
      </c>
      <c r="V9" s="3">
        <v>-64.025463999999999</v>
      </c>
      <c r="W9" s="3">
        <v>-87.305899999999994</v>
      </c>
      <c r="X9" s="3">
        <v>-103.87673700000001</v>
      </c>
      <c r="Y9" s="3">
        <v>-117.97553600000001</v>
      </c>
      <c r="Z9" s="3">
        <v>-77.373278999999997</v>
      </c>
      <c r="AA9" s="3">
        <v>-63.9</v>
      </c>
      <c r="AB9" s="66">
        <v>-68.8</v>
      </c>
      <c r="AC9" s="66">
        <v>-54.4</v>
      </c>
      <c r="AD9" s="66">
        <v>-38.82</v>
      </c>
      <c r="AE9" s="66">
        <v>-43</v>
      </c>
      <c r="AF9" s="66">
        <v>-45</v>
      </c>
      <c r="AG9" s="3">
        <v>-42</v>
      </c>
    </row>
    <row r="10" spans="1:33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>
        <f>(17234316*5)/1000000</f>
        <v>86.171580000000006</v>
      </c>
      <c r="I10" s="7">
        <f>(22060847*5)/1000000</f>
        <v>110.30423500000001</v>
      </c>
      <c r="J10" s="7">
        <v>99.451329999999999</v>
      </c>
      <c r="K10" s="7">
        <v>88.265204999999995</v>
      </c>
      <c r="L10" s="7">
        <v>81.661998999999994</v>
      </c>
      <c r="M10" s="7">
        <v>60.822226999999998</v>
      </c>
      <c r="N10" s="7">
        <v>247.962118</v>
      </c>
      <c r="O10" s="7">
        <v>458.78372400000001</v>
      </c>
      <c r="P10" s="7">
        <v>227.205006</v>
      </c>
      <c r="Q10" s="7">
        <v>245.327427</v>
      </c>
      <c r="R10" s="7">
        <v>161.16374200000001</v>
      </c>
      <c r="S10" s="7">
        <v>128.00917999999999</v>
      </c>
      <c r="T10" s="7">
        <v>238.26564099999999</v>
      </c>
      <c r="U10" s="7">
        <v>225.77804699999999</v>
      </c>
      <c r="V10" s="7">
        <v>241.45950199999999</v>
      </c>
      <c r="W10" s="7">
        <v>151.73989399999999</v>
      </c>
      <c r="X10" s="7">
        <v>122.184467</v>
      </c>
      <c r="Y10" s="7">
        <v>165.62554900000001</v>
      </c>
      <c r="Z10" s="7">
        <v>170.22933599999999</v>
      </c>
      <c r="AA10" s="7">
        <v>208.39847700000001</v>
      </c>
      <c r="AB10" s="7">
        <v>244.82</v>
      </c>
      <c r="AC10" s="7">
        <v>186.59</v>
      </c>
      <c r="AD10" s="7">
        <v>154.30000000000001</v>
      </c>
      <c r="AE10" s="7">
        <v>187.72</v>
      </c>
      <c r="AF10" s="3">
        <v>166.41</v>
      </c>
      <c r="AG10" s="3">
        <v>165.75</v>
      </c>
    </row>
    <row r="11" spans="1:33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>
        <f>(7511066*5)/1000000</f>
        <v>37.555329999999998</v>
      </c>
      <c r="I11" s="3">
        <f>(9869952*5)/1000000</f>
        <v>49.349760000000003</v>
      </c>
      <c r="J11" s="3">
        <v>39.975816999999999</v>
      </c>
      <c r="K11" s="3">
        <v>4.314457</v>
      </c>
      <c r="L11" s="3">
        <v>21.149592999999999</v>
      </c>
      <c r="M11" s="3">
        <v>20.490721000000001</v>
      </c>
      <c r="N11" s="3">
        <v>39.336922000000001</v>
      </c>
      <c r="O11" s="3">
        <v>60.06617</v>
      </c>
      <c r="P11" s="3">
        <v>62.898077999999998</v>
      </c>
      <c r="Q11" s="3">
        <v>83.843941000000001</v>
      </c>
      <c r="R11" s="3">
        <v>23.778314000000002</v>
      </c>
      <c r="S11" s="3">
        <v>22.266123</v>
      </c>
      <c r="T11" s="3">
        <v>63.918087</v>
      </c>
      <c r="U11" s="3">
        <v>56.632700999999997</v>
      </c>
      <c r="V11" s="3">
        <v>70.899614999999997</v>
      </c>
      <c r="W11" s="3">
        <v>-39.403174</v>
      </c>
      <c r="X11" s="3">
        <v>-30.082303</v>
      </c>
      <c r="Y11" s="3">
        <v>34.83905</v>
      </c>
      <c r="Z11" s="3">
        <v>-19.076034</v>
      </c>
      <c r="AA11" s="3">
        <v>14.798847</v>
      </c>
      <c r="AB11" s="3">
        <v>43.65</v>
      </c>
      <c r="AC11" s="3">
        <v>23.89</v>
      </c>
      <c r="AD11" s="3">
        <v>12</v>
      </c>
      <c r="AE11" s="3">
        <v>49</v>
      </c>
      <c r="AF11" s="3">
        <v>42</v>
      </c>
      <c r="AG11" s="3">
        <v>57</v>
      </c>
    </row>
    <row r="12" spans="1:33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>
        <f>(4911224*5)/1000000</f>
        <v>24.55612</v>
      </c>
      <c r="I12" s="7">
        <f>(6693311*5)/1000000</f>
        <v>33.466555</v>
      </c>
      <c r="J12" s="7">
        <v>30.764645999999999</v>
      </c>
      <c r="K12" s="7">
        <v>44.146057999999996</v>
      </c>
      <c r="L12" s="7">
        <v>30.837143999999999</v>
      </c>
      <c r="M12" s="7">
        <v>40.072775</v>
      </c>
      <c r="N12" s="7">
        <v>208.62519599999999</v>
      </c>
      <c r="O12" s="7">
        <v>398.71755400000001</v>
      </c>
      <c r="P12" s="7">
        <v>91.399270999999999</v>
      </c>
      <c r="Q12" s="7">
        <v>121.95056099999999</v>
      </c>
      <c r="R12" s="7">
        <v>137.38542799999999</v>
      </c>
      <c r="S12" s="7">
        <v>105.74305699999999</v>
      </c>
      <c r="T12" s="7">
        <v>174.347554</v>
      </c>
      <c r="U12" s="7">
        <v>169.14534599999999</v>
      </c>
      <c r="V12" s="7">
        <v>170.559887</v>
      </c>
      <c r="W12" s="7">
        <v>191.143068</v>
      </c>
      <c r="X12" s="7">
        <v>152.26677000000001</v>
      </c>
      <c r="Y12" s="7">
        <v>130.78649899999999</v>
      </c>
      <c r="Z12" s="7">
        <v>114.9</v>
      </c>
      <c r="AA12" s="7">
        <v>124.1</v>
      </c>
      <c r="AB12" s="7">
        <v>132.6</v>
      </c>
      <c r="AC12" s="7">
        <v>124.05</v>
      </c>
      <c r="AD12" s="7">
        <v>106.6</v>
      </c>
      <c r="AE12" s="7">
        <v>113.31</v>
      </c>
      <c r="AF12" s="3">
        <v>83.54</v>
      </c>
      <c r="AG12" s="3">
        <v>79.7</v>
      </c>
    </row>
    <row r="13" spans="1:33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22">
        <f>((8429774*5)/1000000)/H5</f>
        <v>0.35719381355932206</v>
      </c>
      <c r="I13" s="22">
        <f>((8431093*5)/1000000)/I5</f>
        <v>0.35724970338983053</v>
      </c>
      <c r="J13" s="22">
        <f>44.714593/J5</f>
        <v>0.38217600854700856</v>
      </c>
      <c r="K13" s="22">
        <f>39.105551/K5</f>
        <v>0.33140297457627116</v>
      </c>
      <c r="L13" s="22">
        <f>53.642526/L5</f>
        <v>0.46243556896551719</v>
      </c>
      <c r="M13" s="22">
        <f>12.752363/M5</f>
        <v>0.10993416379310346</v>
      </c>
      <c r="N13" s="22">
        <f>134.185308/N5</f>
        <v>1.1567698965517241</v>
      </c>
      <c r="O13" s="22">
        <f>33.657043/O5</f>
        <v>0.29014692241379314</v>
      </c>
      <c r="P13" s="47">
        <f>78.84063/P5</f>
        <v>0.67966060344827595</v>
      </c>
      <c r="Q13" s="22">
        <f>36.765574/P5</f>
        <v>0.31694460344827585</v>
      </c>
      <c r="R13" s="22">
        <f>38.113676/Q5</f>
        <v>0.33728916814159288</v>
      </c>
      <c r="S13" s="22">
        <f>51.41751/R5</f>
        <v>0.46322081081081079</v>
      </c>
      <c r="T13" s="22">
        <f>103.226962/T5</f>
        <v>0.9135129380530973</v>
      </c>
      <c r="U13" s="22">
        <f>3.832914/U5</f>
        <v>3.3919592920353986E-2</v>
      </c>
      <c r="V13" s="22">
        <f>69.767974/V5</f>
        <v>0.61741569911504424</v>
      </c>
      <c r="W13" s="22">
        <f>69.49912/W5</f>
        <v>0.61503646017699121</v>
      </c>
      <c r="X13" s="22">
        <f>77.410903/X5</f>
        <v>0.69614121402877704</v>
      </c>
      <c r="Y13" s="22">
        <f>212.075465/Y5</f>
        <v>2.597514930487983</v>
      </c>
      <c r="Z13" s="22">
        <v>0.45</v>
      </c>
      <c r="AA13" s="22">
        <v>0.51</v>
      </c>
      <c r="AB13" s="22">
        <v>0.51</v>
      </c>
      <c r="AC13" s="22">
        <v>0.51</v>
      </c>
      <c r="AD13" s="22">
        <v>0.13</v>
      </c>
      <c r="AE13" s="68">
        <v>0.42</v>
      </c>
      <c r="AF13" s="47">
        <v>0.31</v>
      </c>
      <c r="AG13" s="1">
        <v>0.27</v>
      </c>
    </row>
    <row r="14" spans="1:33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>
        <f>(2779499*5)/1000000</f>
        <v>13.897494999999999</v>
      </c>
      <c r="I14" s="7">
        <f>(2590950*5)/1000000</f>
        <v>12.954750000000001</v>
      </c>
      <c r="J14" s="7">
        <v>23.344484999999999</v>
      </c>
      <c r="K14" s="7">
        <v>46.167090000000002</v>
      </c>
      <c r="L14" s="7">
        <v>48.382603000000003</v>
      </c>
      <c r="M14" s="7">
        <v>329.05980699999998</v>
      </c>
      <c r="N14" s="7">
        <v>134.18530799999999</v>
      </c>
      <c r="O14" s="7">
        <v>213.35169099999999</v>
      </c>
      <c r="P14" s="7">
        <v>306.13021199999997</v>
      </c>
      <c r="Q14" s="7">
        <v>438.74289900000002</v>
      </c>
      <c r="R14" s="7">
        <v>205.17263</v>
      </c>
      <c r="S14" s="7">
        <v>89.034727000000004</v>
      </c>
      <c r="T14" s="7">
        <v>265.09131100000002</v>
      </c>
      <c r="U14" s="7">
        <v>415.69757499999997</v>
      </c>
      <c r="V14" s="7">
        <v>413.67608000000001</v>
      </c>
      <c r="W14" s="7">
        <v>666.34530600000005</v>
      </c>
      <c r="X14" s="7">
        <v>602.97177199999999</v>
      </c>
      <c r="Y14" s="7">
        <v>206.255764</v>
      </c>
      <c r="Z14" s="7">
        <v>184.10127399999999</v>
      </c>
      <c r="AA14" s="7">
        <v>243.18726100000001</v>
      </c>
      <c r="AB14" s="7">
        <v>183.2</v>
      </c>
      <c r="AC14" s="7">
        <v>259.2</v>
      </c>
      <c r="AD14" s="7">
        <v>444.8</v>
      </c>
      <c r="AE14" s="7">
        <v>323.60000000000002</v>
      </c>
      <c r="AF14" s="1"/>
      <c r="AG14" s="1"/>
    </row>
    <row r="15" spans="1:33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>
        <f>(20180000+95637+453173+220000+815613+93845)*5/1000000</f>
        <v>109.29134000000001</v>
      </c>
      <c r="I15" s="3">
        <f>(18930000+203826+1062500+1250000+3829816+139175)*5/1000000</f>
        <v>127.07658499999999</v>
      </c>
      <c r="J15" s="3">
        <f>98.075089+346.642322+3.740984+1.097355+38.324832+1.556743</f>
        <v>489.43732499999999</v>
      </c>
      <c r="K15" s="3">
        <f>83.005068+375.829317+2.499456+7.793717+17.672367+1.717351</f>
        <v>488.51727600000004</v>
      </c>
      <c r="L15" s="3">
        <f>62.91129+289.629683+3.45173+11.276198+54.10232+1.613435</f>
        <v>422.98465600000003</v>
      </c>
      <c r="M15" s="3">
        <f>48.138287+614.160232+8.996898+14.459998+10.3130007+1.301686</f>
        <v>697.37010169999996</v>
      </c>
      <c r="N15" s="3">
        <v>386.30861399999998</v>
      </c>
      <c r="O15" s="3">
        <v>146.63176999999999</v>
      </c>
      <c r="P15" s="3">
        <f>1324.378845+67.837778</f>
        <v>1392.216623</v>
      </c>
      <c r="Q15" s="3">
        <f>1208.813406+316.026889</f>
        <v>1524.840295</v>
      </c>
      <c r="R15" s="3">
        <f>1227.116283+64.032032</f>
        <v>1291.1483150000001</v>
      </c>
      <c r="S15" s="3">
        <f>871.817132+447.973519</f>
        <v>1319.790651</v>
      </c>
      <c r="T15" s="3">
        <f>1257.882924+150.478637</f>
        <v>1408.3615609999999</v>
      </c>
      <c r="U15" s="3">
        <f>1156.533619+251.991062</f>
        <v>1408.5246810000001</v>
      </c>
      <c r="V15" s="3">
        <f>1681.677079+333.104559</f>
        <v>2014.7816379999999</v>
      </c>
      <c r="W15" s="3">
        <f>1929.394235+250.603409</f>
        <v>2179.997644</v>
      </c>
      <c r="X15" s="3">
        <f>1276.083559+712.556265</f>
        <v>1988.6398239999999</v>
      </c>
      <c r="Y15" s="3">
        <f>1497.214815+512.03257</f>
        <v>2009.2473850000001</v>
      </c>
      <c r="Z15" s="3">
        <f>1697.56538+266.268367</f>
        <v>1963.8337470000001</v>
      </c>
      <c r="AA15" s="3">
        <f>1653.480805+263.3902</f>
        <v>1916.871005</v>
      </c>
      <c r="AB15" s="3">
        <v>1734.9</v>
      </c>
      <c r="AC15" s="3">
        <v>1805.1</v>
      </c>
      <c r="AD15" s="3">
        <v>1740.6</v>
      </c>
      <c r="AE15" s="3">
        <v>1492.7</v>
      </c>
      <c r="AF15" s="1"/>
      <c r="AG15" s="1"/>
    </row>
    <row r="16" spans="1:33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7">
        <f>(34264970*5)/1000000</f>
        <v>171.32485</v>
      </c>
      <c r="I16" s="7">
        <f>(35675242*5)/1000000</f>
        <v>178.37620999999999</v>
      </c>
      <c r="J16" s="7">
        <v>184.81780900000001</v>
      </c>
      <c r="K16" s="7">
        <v>197.05733799999999</v>
      </c>
      <c r="L16" s="7">
        <v>209.809652</v>
      </c>
      <c r="M16" s="7">
        <v>7.397926</v>
      </c>
      <c r="N16" s="7">
        <v>497.90693299999998</v>
      </c>
      <c r="O16" s="7">
        <v>543.27710500000001</v>
      </c>
      <c r="P16" s="7">
        <v>525.27508699999998</v>
      </c>
      <c r="Q16" s="7">
        <v>304.87308000000002</v>
      </c>
      <c r="R16" s="7">
        <v>302.940493</v>
      </c>
      <c r="S16" s="7">
        <v>305.37526000000003</v>
      </c>
      <c r="T16" s="7">
        <v>310.52084600000001</v>
      </c>
      <c r="U16" s="7">
        <v>333.21688899999998</v>
      </c>
      <c r="V16" s="7">
        <v>335.22864499999997</v>
      </c>
      <c r="W16" s="7">
        <v>328.07402999999999</v>
      </c>
      <c r="X16" s="7">
        <v>336.42441400000001</v>
      </c>
      <c r="Y16" s="7">
        <v>415.28945499999998</v>
      </c>
      <c r="Z16" s="7">
        <v>409.75420700000001</v>
      </c>
      <c r="AA16" s="7">
        <v>378.54743100000002</v>
      </c>
      <c r="AB16" s="7">
        <v>367.2</v>
      </c>
      <c r="AC16" s="7">
        <v>300.8</v>
      </c>
      <c r="AD16" s="7">
        <v>259.2</v>
      </c>
      <c r="AE16" s="7">
        <v>250.2</v>
      </c>
      <c r="AF16" s="1"/>
      <c r="AG16" s="1"/>
    </row>
    <row r="17" spans="1:33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1"/>
    </row>
    <row r="18" spans="1:33" x14ac:dyDescent="0.3">
      <c r="A18" s="103"/>
      <c r="B18" s="14">
        <v>15</v>
      </c>
      <c r="C18" s="6" t="s">
        <v>19</v>
      </c>
      <c r="D18" s="7"/>
      <c r="E18" s="7"/>
      <c r="F18" s="7"/>
      <c r="G18" s="7"/>
      <c r="H18" s="7">
        <f>((1904283+20961068+1836261)*5/1000000)+H19</f>
        <v>180.355715</v>
      </c>
      <c r="I18" s="7">
        <f>((2095153+20413770+2695031)*5/1000000)+I19</f>
        <v>231.70614999999998</v>
      </c>
      <c r="J18" s="7">
        <f>(5.861656+449.194786+13.964502)+J19</f>
        <v>574.15090799999996</v>
      </c>
      <c r="K18" s="7">
        <f>(21.015011+462.07857+15.525934)+K19</f>
        <v>594.9366</v>
      </c>
      <c r="L18" s="7">
        <f>L19+356.38331+16.536043</f>
        <v>529.5674919999999</v>
      </c>
      <c r="M18" s="7">
        <f>M19+671.854139+33.112634</f>
        <v>884.60178699999994</v>
      </c>
      <c r="N18" s="7">
        <v>2953.064918</v>
      </c>
      <c r="O18" s="7">
        <v>2227.0928509999999</v>
      </c>
      <c r="P18" s="7">
        <v>2273.6011800000001</v>
      </c>
      <c r="Q18" s="7">
        <v>2206.4416660000002</v>
      </c>
      <c r="R18" s="7">
        <v>2156.2001479999999</v>
      </c>
      <c r="S18" s="7">
        <v>2202.3394910000002</v>
      </c>
      <c r="T18" s="7">
        <v>2325.7080390000001</v>
      </c>
      <c r="U18" s="7">
        <v>2403.536685</v>
      </c>
      <c r="V18" s="7">
        <v>3096.8202259999998</v>
      </c>
      <c r="W18" s="7">
        <v>3134.8157080000001</v>
      </c>
      <c r="X18" s="7">
        <v>2867.8216339999999</v>
      </c>
      <c r="Y18" s="7">
        <v>3352</v>
      </c>
      <c r="Z18" s="7">
        <v>3271.1</v>
      </c>
      <c r="AA18" s="7">
        <v>3143.6</v>
      </c>
      <c r="AB18" s="7">
        <v>3101.9</v>
      </c>
      <c r="AC18" s="7">
        <v>3061</v>
      </c>
      <c r="AD18" s="7">
        <v>2882.2</v>
      </c>
      <c r="AE18" s="7">
        <v>2746.1</v>
      </c>
      <c r="AF18" s="1"/>
      <c r="AG18" s="1"/>
    </row>
    <row r="19" spans="1:33" x14ac:dyDescent="0.3">
      <c r="A19" s="103"/>
      <c r="B19" s="14">
        <v>18</v>
      </c>
      <c r="C19" s="1" t="s">
        <v>21</v>
      </c>
      <c r="D19" s="3"/>
      <c r="E19" s="3"/>
      <c r="F19" s="3"/>
      <c r="G19" s="3"/>
      <c r="H19" s="3">
        <f>(11369531*5)/1000000</f>
        <v>56.847655000000003</v>
      </c>
      <c r="I19" s="3">
        <f>(21137276*5)/1000000</f>
        <v>105.68638</v>
      </c>
      <c r="J19" s="3">
        <v>105.129964</v>
      </c>
      <c r="K19" s="3">
        <v>96.317085000000006</v>
      </c>
      <c r="L19" s="3">
        <v>156.64813899999999</v>
      </c>
      <c r="M19" s="3">
        <v>179.63501400000001</v>
      </c>
      <c r="N19" s="3">
        <v>732.90237300000001</v>
      </c>
      <c r="O19" s="3">
        <v>454.83872200000002</v>
      </c>
      <c r="P19" s="3">
        <v>423.18907300000001</v>
      </c>
      <c r="Q19" s="3">
        <v>533.90060900000003</v>
      </c>
      <c r="R19" s="3">
        <v>451.932954</v>
      </c>
      <c r="S19" s="3">
        <v>867.85361599999999</v>
      </c>
      <c r="T19" s="3">
        <v>565.43627500000002</v>
      </c>
      <c r="U19" s="3">
        <v>726.49260800000002</v>
      </c>
      <c r="V19" s="3">
        <v>900.29884000000004</v>
      </c>
      <c r="W19" s="3">
        <v>739.00381600000003</v>
      </c>
      <c r="X19" s="3">
        <v>1175.4041729999999</v>
      </c>
      <c r="Y19" s="3">
        <v>981.55321000000004</v>
      </c>
      <c r="Z19" s="3">
        <v>769.39997800000003</v>
      </c>
      <c r="AA19" s="3">
        <v>756.52489300000002</v>
      </c>
      <c r="AB19" s="3">
        <v>926.4</v>
      </c>
      <c r="AC19" s="3">
        <v>964.3</v>
      </c>
      <c r="AD19" s="3">
        <v>1028.8</v>
      </c>
      <c r="AE19" s="3">
        <v>885.6</v>
      </c>
      <c r="AF19" s="1"/>
      <c r="AG19" s="1"/>
    </row>
    <row r="20" spans="1:33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>
        <f>H21+(12283338+1225018+1554481)*5/1000000</f>
        <v>97.651289999999989</v>
      </c>
      <c r="I20" s="7">
        <f>I21+(13393180+366826+2224124)*5/1000000</f>
        <v>104.915375</v>
      </c>
      <c r="J20" s="7">
        <f>J21+74.764275+16.741373+7.842694</f>
        <v>142.07334399999999</v>
      </c>
      <c r="K20" s="7">
        <f>K21+129.169669+10.143297+30.294152</f>
        <v>211.20565399999998</v>
      </c>
      <c r="L20" s="7">
        <f>L21+84.253504+15.147605+33.957232</f>
        <v>178.36034100000001</v>
      </c>
      <c r="M20" s="7">
        <f>M21+81.492377+230.091662+98.968145</f>
        <v>450.65275300000002</v>
      </c>
      <c r="N20" s="7">
        <v>738.04987800000004</v>
      </c>
      <c r="O20" s="7">
        <v>775.88527299999998</v>
      </c>
      <c r="P20" s="7">
        <v>866.028187</v>
      </c>
      <c r="Q20" s="7">
        <v>1035.1397689999999</v>
      </c>
      <c r="R20" s="7">
        <v>825.78251399999999</v>
      </c>
      <c r="S20" s="7">
        <v>562.02143999999998</v>
      </c>
      <c r="T20" s="7">
        <v>800.97370799999999</v>
      </c>
      <c r="U20" s="7">
        <v>1055.817624</v>
      </c>
      <c r="V20" s="7">
        <v>1106.4441569999999</v>
      </c>
      <c r="W20" s="7">
        <v>1312.54546</v>
      </c>
      <c r="X20" s="7">
        <v>1250.6178399999999</v>
      </c>
      <c r="Y20" s="7">
        <v>895.82319399999994</v>
      </c>
      <c r="Z20" s="7">
        <v>909.30906300000004</v>
      </c>
      <c r="AA20" s="7">
        <v>1059.621836</v>
      </c>
      <c r="AB20" s="7">
        <v>1007.6</v>
      </c>
      <c r="AC20" s="7">
        <v>969.7</v>
      </c>
      <c r="AD20" s="7">
        <v>1030.4000000000001</v>
      </c>
      <c r="AE20" s="7">
        <v>982.3</v>
      </c>
      <c r="AF20" s="1"/>
      <c r="AG20" s="1"/>
    </row>
    <row r="21" spans="1:33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>
        <f>(4467421*5)/1000000</f>
        <v>22.337105000000001</v>
      </c>
      <c r="I21" s="3">
        <f>(4998945*5)/1000000</f>
        <v>24.994724999999999</v>
      </c>
      <c r="J21" s="3">
        <v>42.725002000000003</v>
      </c>
      <c r="K21" s="3">
        <v>41.598536000000003</v>
      </c>
      <c r="L21" s="3">
        <v>45.002000000000002</v>
      </c>
      <c r="M21" s="3">
        <v>40.100569</v>
      </c>
      <c r="N21" s="3">
        <v>187.97818000000001</v>
      </c>
      <c r="O21" s="3">
        <v>184.36144999999999</v>
      </c>
      <c r="P21" s="3">
        <v>171.22446099999999</v>
      </c>
      <c r="Q21" s="3">
        <v>177.434516</v>
      </c>
      <c r="R21" s="3">
        <v>288.970191</v>
      </c>
      <c r="S21" s="3">
        <v>189.847791</v>
      </c>
      <c r="T21" s="3">
        <v>226.84034800000001</v>
      </c>
      <c r="U21" s="3">
        <v>242.81429900000001</v>
      </c>
      <c r="V21" s="3">
        <v>317.329632</v>
      </c>
      <c r="W21" s="3">
        <v>299.64401700000002</v>
      </c>
      <c r="X21" s="3">
        <v>285.676152</v>
      </c>
      <c r="Y21" s="3">
        <v>309.75967800000001</v>
      </c>
      <c r="Z21" s="3">
        <v>308.71769499999999</v>
      </c>
      <c r="AA21" s="3">
        <v>280.75634600000001</v>
      </c>
      <c r="AB21" s="3">
        <v>313.89999999999998</v>
      </c>
      <c r="AC21" s="3">
        <v>306.39999999999998</v>
      </c>
      <c r="AD21" s="3">
        <v>236.5</v>
      </c>
      <c r="AE21" s="3">
        <v>271.89999999999998</v>
      </c>
      <c r="AF21" s="1"/>
      <c r="AG21" s="1"/>
    </row>
    <row r="22" spans="1:33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>
        <f>((9735098+121325)*5)/1000000</f>
        <v>49.282114999999997</v>
      </c>
      <c r="I22" s="7">
        <f>((10478394+189433)*5)/1000000</f>
        <v>53.339134999999999</v>
      </c>
      <c r="J22" s="7">
        <f>55.717516+2.220962</f>
        <v>57.938478000000003</v>
      </c>
      <c r="K22" s="7">
        <f>74.456626+1.283003</f>
        <v>75.739628999999994</v>
      </c>
      <c r="L22" s="7">
        <f>62.333496+1.455593</f>
        <v>63.789088999999997</v>
      </c>
      <c r="M22" s="7">
        <f>65.337413+1.425457</f>
        <v>66.762869999999992</v>
      </c>
      <c r="N22" s="7">
        <v>322.46326900000003</v>
      </c>
      <c r="O22" s="7">
        <v>329.874571</v>
      </c>
      <c r="P22" s="7">
        <v>354.02337699999998</v>
      </c>
      <c r="Q22" s="7">
        <v>375.324637</v>
      </c>
      <c r="R22" s="7">
        <v>276.17682500000001</v>
      </c>
      <c r="S22" s="7">
        <v>226.03888599999999</v>
      </c>
      <c r="T22" s="7">
        <v>272.24264399999998</v>
      </c>
      <c r="U22" s="7">
        <v>316.62545399999999</v>
      </c>
      <c r="V22" s="7">
        <v>290.92590200000001</v>
      </c>
      <c r="W22" s="7">
        <v>280.66221400000001</v>
      </c>
      <c r="X22" s="7">
        <v>282.512404</v>
      </c>
      <c r="Y22" s="7">
        <v>352.7</v>
      </c>
      <c r="Z22" s="7">
        <v>400.7</v>
      </c>
      <c r="AA22" s="7">
        <v>428.3</v>
      </c>
      <c r="AB22" s="7">
        <v>487.1</v>
      </c>
      <c r="AC22" s="7">
        <v>379.4</v>
      </c>
      <c r="AD22" s="7">
        <v>425.5</v>
      </c>
      <c r="AE22" s="7">
        <v>274.2</v>
      </c>
      <c r="AF22" s="1"/>
      <c r="AG22" s="1"/>
    </row>
    <row r="23" spans="1:33" x14ac:dyDescent="0.3">
      <c r="A23" s="103"/>
      <c r="B23" s="14">
        <v>16</v>
      </c>
      <c r="C23" s="1" t="s">
        <v>20</v>
      </c>
      <c r="D23" s="3"/>
      <c r="E23" s="3"/>
      <c r="F23" s="3"/>
      <c r="G23" s="3"/>
      <c r="H23" s="3">
        <f>(35539567*5)/1000000</f>
        <v>177.697835</v>
      </c>
      <c r="I23" s="3">
        <f>(35675242*5)/1000000</f>
        <v>178.37620999999999</v>
      </c>
      <c r="J23" s="3">
        <v>193.919748</v>
      </c>
      <c r="K23" s="3">
        <v>197.05733799999999</v>
      </c>
      <c r="L23" s="3">
        <v>224.51390900000001</v>
      </c>
      <c r="M23" s="3">
        <v>237.625506</v>
      </c>
      <c r="N23" s="3">
        <v>884.05036700000005</v>
      </c>
      <c r="O23" s="3">
        <v>1246.5528380000001</v>
      </c>
      <c r="P23" s="3">
        <v>1262.277419</v>
      </c>
      <c r="Q23" s="3">
        <v>1050.6981029999999</v>
      </c>
      <c r="R23" s="3">
        <v>1124.278069</v>
      </c>
      <c r="S23" s="3">
        <v>1171.1193290000001</v>
      </c>
      <c r="T23" s="3">
        <v>1243.941595</v>
      </c>
      <c r="U23" s="3">
        <v>1382.0198869999999</v>
      </c>
      <c r="V23" s="3">
        <v>1131.1396159999999</v>
      </c>
      <c r="W23" s="3">
        <v>1208.7977980000001</v>
      </c>
      <c r="X23" s="3">
        <v>1236.8228529999999</v>
      </c>
      <c r="Y23" s="3">
        <v>716.3</v>
      </c>
      <c r="Z23" s="3">
        <v>817.3</v>
      </c>
      <c r="AA23" s="3">
        <v>843.4</v>
      </c>
      <c r="AB23" s="3">
        <v>890.4</v>
      </c>
      <c r="AC23" s="3">
        <v>960.6</v>
      </c>
      <c r="AD23" s="3">
        <v>948.8</v>
      </c>
      <c r="AE23" s="3">
        <v>1019.7</v>
      </c>
      <c r="AF23" s="1"/>
      <c r="AG23" s="1"/>
    </row>
    <row r="25" spans="1:33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  <c r="AG25" s="8" t="s">
        <v>116</v>
      </c>
    </row>
    <row r="26" spans="1:33" x14ac:dyDescent="0.3">
      <c r="A26" s="6" t="s">
        <v>65</v>
      </c>
      <c r="B26" s="17" t="s">
        <v>27</v>
      </c>
      <c r="C26" s="6" t="s">
        <v>85</v>
      </c>
      <c r="D26" s="7">
        <f t="shared" ref="D26:AB26" si="0">D4*D5</f>
        <v>0</v>
      </c>
      <c r="E26" s="7">
        <f t="shared" si="0"/>
        <v>178.18</v>
      </c>
      <c r="F26" s="7">
        <f t="shared" si="0"/>
        <v>309.16000000000003</v>
      </c>
      <c r="G26" s="7">
        <f t="shared" si="0"/>
        <v>497.96</v>
      </c>
      <c r="H26" s="7">
        <f t="shared" si="0"/>
        <v>375.24</v>
      </c>
      <c r="I26" s="7">
        <f t="shared" si="0"/>
        <v>382.32000000000005</v>
      </c>
      <c r="J26" s="7">
        <f t="shared" si="0"/>
        <v>424.71</v>
      </c>
      <c r="K26" s="7">
        <f t="shared" si="0"/>
        <v>527.45999999999992</v>
      </c>
      <c r="L26" s="7">
        <f t="shared" si="0"/>
        <v>361.92</v>
      </c>
      <c r="M26" s="7">
        <f t="shared" si="0"/>
        <v>394.4</v>
      </c>
      <c r="N26" s="7">
        <f t="shared" si="0"/>
        <v>448.92</v>
      </c>
      <c r="O26" s="7">
        <f t="shared" si="0"/>
        <v>745.88</v>
      </c>
      <c r="P26" s="7">
        <f t="shared" si="0"/>
        <v>968.59999999999991</v>
      </c>
      <c r="Q26" s="7">
        <f t="shared" si="0"/>
        <v>935.63999999999987</v>
      </c>
      <c r="R26" s="7">
        <f t="shared" si="0"/>
        <v>670.44</v>
      </c>
      <c r="S26" s="7">
        <f t="shared" si="0"/>
        <v>813.63</v>
      </c>
      <c r="T26" s="7">
        <f t="shared" si="0"/>
        <v>883.66000000000008</v>
      </c>
      <c r="U26" s="7">
        <f t="shared" si="0"/>
        <v>572.91000000000008</v>
      </c>
      <c r="V26" s="7">
        <f t="shared" si="0"/>
        <v>606.81000000000006</v>
      </c>
      <c r="W26" s="7">
        <f t="shared" si="0"/>
        <v>868.97</v>
      </c>
      <c r="X26" s="7">
        <f t="shared" si="0"/>
        <v>1051.9520000000002</v>
      </c>
      <c r="Y26" s="7">
        <f t="shared" si="0"/>
        <v>1036.8981420999999</v>
      </c>
      <c r="Z26" s="7">
        <f t="shared" si="0"/>
        <v>1088.0800000000002</v>
      </c>
      <c r="AA26" s="7">
        <f t="shared" si="0"/>
        <v>1435.7659254450002</v>
      </c>
      <c r="AB26" s="7">
        <f t="shared" si="0"/>
        <v>1056.9560901</v>
      </c>
      <c r="AC26" s="7">
        <f t="shared" ref="AC26:AE26" si="1">AC4*AC5</f>
        <v>1101.3044</v>
      </c>
      <c r="AD26" s="7">
        <f t="shared" si="1"/>
        <v>726.15303900000004</v>
      </c>
      <c r="AE26" s="7">
        <f t="shared" si="1"/>
        <v>934.47166409999988</v>
      </c>
      <c r="AF26" s="7">
        <f t="shared" ref="AF26:AG26" si="2">AF4*AF5</f>
        <v>969.61418821999996</v>
      </c>
      <c r="AG26" s="7">
        <f t="shared" si="2"/>
        <v>969.61418821999996</v>
      </c>
    </row>
    <row r="27" spans="1:33" x14ac:dyDescent="0.3">
      <c r="A27" s="1" t="s">
        <v>66</v>
      </c>
      <c r="B27" s="2" t="s">
        <v>28</v>
      </c>
      <c r="C27" s="1" t="s">
        <v>47</v>
      </c>
      <c r="D27" s="30" t="e">
        <f t="shared" ref="D27:AB27" si="3">D26/D6</f>
        <v>#DIV/0!</v>
      </c>
      <c r="E27" s="30" t="e">
        <f t="shared" si="3"/>
        <v>#DIV/0!</v>
      </c>
      <c r="F27" s="30" t="e">
        <f t="shared" si="3"/>
        <v>#DIV/0!</v>
      </c>
      <c r="G27" s="30" t="e">
        <f t="shared" si="3"/>
        <v>#DIV/0!</v>
      </c>
      <c r="H27" s="30">
        <f t="shared" si="3"/>
        <v>1.0329981861142072</v>
      </c>
      <c r="I27" s="30">
        <f t="shared" si="3"/>
        <v>0.96446455668434095</v>
      </c>
      <c r="J27" s="30">
        <f t="shared" si="3"/>
        <v>0.91287463131652236</v>
      </c>
      <c r="K27" s="30">
        <f t="shared" si="3"/>
        <v>1.0536482381473702</v>
      </c>
      <c r="L27" s="30">
        <f t="shared" si="3"/>
        <v>0.73701711274438031</v>
      </c>
      <c r="M27" s="30">
        <f t="shared" si="3"/>
        <v>0.94394434155687801</v>
      </c>
      <c r="N27" s="30">
        <f t="shared" si="3"/>
        <v>0.60930229848664741</v>
      </c>
      <c r="O27" s="30">
        <f t="shared" si="3"/>
        <v>0.48759411440590517</v>
      </c>
      <c r="P27" s="30">
        <f t="shared" si="3"/>
        <v>0.64285713266464972</v>
      </c>
      <c r="Q27" s="30">
        <f t="shared" si="3"/>
        <v>0.66631075210628721</v>
      </c>
      <c r="R27" s="30">
        <f t="shared" si="3"/>
        <v>0.46502140372958722</v>
      </c>
      <c r="S27" s="30">
        <f t="shared" si="3"/>
        <v>0.57442285214636135</v>
      </c>
      <c r="T27" s="30">
        <f t="shared" si="3"/>
        <v>0.52342198158608511</v>
      </c>
      <c r="U27" s="30">
        <f t="shared" si="3"/>
        <v>0.32190575109007041</v>
      </c>
      <c r="V27" s="30">
        <f t="shared" si="3"/>
        <v>0.31077217799316531</v>
      </c>
      <c r="W27" s="30">
        <f t="shared" si="3"/>
        <v>0.43655635864067482</v>
      </c>
      <c r="X27" s="30">
        <f t="shared" si="3"/>
        <v>0.526461425336616</v>
      </c>
      <c r="Y27" s="30">
        <f t="shared" si="3"/>
        <v>0.48627340758902737</v>
      </c>
      <c r="Z27" s="30">
        <f t="shared" si="3"/>
        <v>0.52447322992216594</v>
      </c>
      <c r="AA27" s="30">
        <f t="shared" si="3"/>
        <v>0.66327755120744103</v>
      </c>
      <c r="AB27" s="30">
        <f t="shared" si="3"/>
        <v>0.48087174253867149</v>
      </c>
      <c r="AC27" s="30">
        <f t="shared" ref="AC27:AE27" si="4">AC26/AC6</f>
        <v>0.49408003589053384</v>
      </c>
      <c r="AD27" s="30">
        <f t="shared" si="4"/>
        <v>0.38894110283877881</v>
      </c>
      <c r="AE27" s="30">
        <f t="shared" si="4"/>
        <v>0.45230961476282666</v>
      </c>
      <c r="AF27" s="30">
        <f t="shared" ref="AF27:AG27" si="5">AF26/AF6</f>
        <v>0.45119320066077245</v>
      </c>
      <c r="AG27" s="30">
        <f t="shared" si="5"/>
        <v>0.46150127949547831</v>
      </c>
    </row>
    <row r="28" spans="1:33" x14ac:dyDescent="0.3">
      <c r="A28" s="6" t="s">
        <v>67</v>
      </c>
      <c r="B28" s="17" t="s">
        <v>29</v>
      </c>
      <c r="C28" s="6" t="s">
        <v>48</v>
      </c>
      <c r="D28" s="29" t="e">
        <f t="shared" ref="D28:AB28" si="6">D26/D7</f>
        <v>#DIV/0!</v>
      </c>
      <c r="E28" s="29" t="e">
        <f t="shared" si="6"/>
        <v>#DIV/0!</v>
      </c>
      <c r="F28" s="29" t="e">
        <f t="shared" si="6"/>
        <v>#DIV/0!</v>
      </c>
      <c r="G28" s="29" t="e">
        <f t="shared" si="6"/>
        <v>#DIV/0!</v>
      </c>
      <c r="H28" s="29">
        <f t="shared" si="6"/>
        <v>2.7627697849407107</v>
      </c>
      <c r="I28" s="29">
        <f t="shared" si="6"/>
        <v>2.3940414967192765</v>
      </c>
      <c r="J28" s="29">
        <f t="shared" si="6"/>
        <v>2.6080705854152821</v>
      </c>
      <c r="K28" s="29">
        <f t="shared" si="6"/>
        <v>3.2925118501493991</v>
      </c>
      <c r="L28" s="29">
        <f t="shared" si="6"/>
        <v>2.1981560014769777</v>
      </c>
      <c r="M28" s="29">
        <f t="shared" si="6"/>
        <v>3.5356401084125508</v>
      </c>
      <c r="N28" s="29">
        <f t="shared" si="6"/>
        <v>1.2698959667742578</v>
      </c>
      <c r="O28" s="29">
        <f t="shared" si="6"/>
        <v>1.0261409658689278</v>
      </c>
      <c r="P28" s="29">
        <f t="shared" si="6"/>
        <v>2.3413993808756017</v>
      </c>
      <c r="Q28" s="29">
        <f t="shared" si="6"/>
        <v>2.2270733393097877</v>
      </c>
      <c r="R28" s="29">
        <f t="shared" si="6"/>
        <v>1.9655918865700444</v>
      </c>
      <c r="S28" s="29">
        <f t="shared" si="6"/>
        <v>2.5869926475171723</v>
      </c>
      <c r="T28" s="29">
        <f t="shared" si="6"/>
        <v>1.9672064682610666</v>
      </c>
      <c r="U28" s="29">
        <f t="shared" si="6"/>
        <v>1.3367244648552365</v>
      </c>
      <c r="V28" s="29">
        <f t="shared" si="6"/>
        <v>1.2032838065412166</v>
      </c>
      <c r="W28" s="29">
        <f t="shared" si="6"/>
        <v>2.1297818945941414</v>
      </c>
      <c r="X28" s="29">
        <f t="shared" si="6"/>
        <v>2.6409543800256214</v>
      </c>
      <c r="Y28" s="29">
        <f t="shared" si="6"/>
        <v>2.1285032011871028</v>
      </c>
      <c r="Z28" s="29">
        <f t="shared" si="6"/>
        <v>2.2246575342465755</v>
      </c>
      <c r="AA28" s="29">
        <f t="shared" si="6"/>
        <v>2.8675173266327145</v>
      </c>
      <c r="AB28" s="29">
        <f t="shared" si="6"/>
        <v>1.9269937832269826</v>
      </c>
      <c r="AC28" s="29">
        <f t="shared" ref="AC28:AE28" si="7">AC26/AC7</f>
        <v>2.2623344289235825</v>
      </c>
      <c r="AD28" s="29">
        <f t="shared" si="7"/>
        <v>1.7318221774385882</v>
      </c>
      <c r="AE28" s="29">
        <f t="shared" si="7"/>
        <v>2.0323437670726401</v>
      </c>
      <c r="AF28" s="29">
        <f t="shared" ref="AF28:AG28" si="8">AF26/AF7</f>
        <v>2.1294757389585577</v>
      </c>
      <c r="AG28" s="29">
        <f t="shared" si="8"/>
        <v>2.1443576270429263</v>
      </c>
    </row>
    <row r="29" spans="1:33" x14ac:dyDescent="0.3">
      <c r="A29" s="15" t="s">
        <v>68</v>
      </c>
      <c r="B29" s="2" t="s">
        <v>30</v>
      </c>
      <c r="C29" s="1" t="s">
        <v>49</v>
      </c>
      <c r="D29" s="3">
        <f t="shared" ref="D29:AE29" si="9">D15-D14</f>
        <v>0</v>
      </c>
      <c r="E29" s="3">
        <f t="shared" si="9"/>
        <v>0</v>
      </c>
      <c r="F29" s="3">
        <f t="shared" si="9"/>
        <v>0</v>
      </c>
      <c r="G29" s="3">
        <f t="shared" si="9"/>
        <v>0</v>
      </c>
      <c r="H29" s="3">
        <f t="shared" si="9"/>
        <v>95.393844999999999</v>
      </c>
      <c r="I29" s="3">
        <f t="shared" si="9"/>
        <v>114.12183499999999</v>
      </c>
      <c r="J29" s="3">
        <f t="shared" si="9"/>
        <v>466.09283999999997</v>
      </c>
      <c r="K29" s="3">
        <f t="shared" si="9"/>
        <v>442.35018600000001</v>
      </c>
      <c r="L29" s="3">
        <f t="shared" si="9"/>
        <v>374.60205300000001</v>
      </c>
      <c r="M29" s="3">
        <f t="shared" si="9"/>
        <v>368.31029469999999</v>
      </c>
      <c r="N29" s="3">
        <f t="shared" si="9"/>
        <v>252.12330599999999</v>
      </c>
      <c r="O29" s="3">
        <f t="shared" si="9"/>
        <v>-66.719920999999999</v>
      </c>
      <c r="P29" s="3">
        <f>P15-Q14</f>
        <v>953.47372399999995</v>
      </c>
      <c r="Q29" s="3">
        <f>Q15-R14</f>
        <v>1319.6676649999999</v>
      </c>
      <c r="R29" s="3">
        <f t="shared" si="9"/>
        <v>1085.9756850000001</v>
      </c>
      <c r="S29" s="3">
        <f t="shared" si="9"/>
        <v>1230.7559240000001</v>
      </c>
      <c r="T29" s="3">
        <f t="shared" si="9"/>
        <v>1143.27025</v>
      </c>
      <c r="U29" s="3">
        <f t="shared" si="9"/>
        <v>992.82710600000019</v>
      </c>
      <c r="V29" s="3">
        <f t="shared" si="9"/>
        <v>1601.105558</v>
      </c>
      <c r="W29" s="3">
        <f t="shared" si="9"/>
        <v>1513.6523379999999</v>
      </c>
      <c r="X29" s="3">
        <f t="shared" si="9"/>
        <v>1385.668052</v>
      </c>
      <c r="Y29" s="3">
        <f t="shared" si="9"/>
        <v>1802.9916210000001</v>
      </c>
      <c r="Z29" s="3">
        <f t="shared" si="9"/>
        <v>1779.732473</v>
      </c>
      <c r="AA29" s="3">
        <f t="shared" si="9"/>
        <v>1673.6837439999999</v>
      </c>
      <c r="AB29" s="3">
        <f t="shared" si="9"/>
        <v>1551.7</v>
      </c>
      <c r="AC29" s="3">
        <f t="shared" si="9"/>
        <v>1545.8999999999999</v>
      </c>
      <c r="AD29" s="3">
        <f t="shared" si="9"/>
        <v>1295.8</v>
      </c>
      <c r="AE29" s="3">
        <f t="shared" si="9"/>
        <v>1169.0999999999999</v>
      </c>
      <c r="AF29" s="1"/>
      <c r="AG29" s="1"/>
    </row>
    <row r="30" spans="1:33" x14ac:dyDescent="0.3">
      <c r="A30" s="6" t="s">
        <v>69</v>
      </c>
      <c r="B30" s="17" t="s">
        <v>31</v>
      </c>
      <c r="C30" s="6" t="s">
        <v>50</v>
      </c>
      <c r="D30" s="7">
        <f t="shared" ref="D30:AE30" si="10">D26+D29+D16+D17</f>
        <v>0</v>
      </c>
      <c r="E30" s="7">
        <f t="shared" si="10"/>
        <v>178.18</v>
      </c>
      <c r="F30" s="7">
        <f t="shared" si="10"/>
        <v>309.16000000000003</v>
      </c>
      <c r="G30" s="7">
        <f t="shared" si="10"/>
        <v>497.96</v>
      </c>
      <c r="H30" s="7">
        <f t="shared" si="10"/>
        <v>641.95869500000003</v>
      </c>
      <c r="I30" s="7">
        <f t="shared" si="10"/>
        <v>674.81804499999998</v>
      </c>
      <c r="J30" s="7">
        <f t="shared" si="10"/>
        <v>1075.620649</v>
      </c>
      <c r="K30" s="7">
        <f t="shared" si="10"/>
        <v>1166.867524</v>
      </c>
      <c r="L30" s="7">
        <f t="shared" si="10"/>
        <v>946.33170500000006</v>
      </c>
      <c r="M30" s="7">
        <f t="shared" si="10"/>
        <v>770.10822069999995</v>
      </c>
      <c r="N30" s="7">
        <f t="shared" si="10"/>
        <v>1198.950239</v>
      </c>
      <c r="O30" s="7">
        <f t="shared" si="10"/>
        <v>1222.4371839999999</v>
      </c>
      <c r="P30" s="7">
        <f t="shared" si="10"/>
        <v>2447.3488109999998</v>
      </c>
      <c r="Q30" s="7">
        <f t="shared" ref="Q30" si="11">Q26+Q29+Q16+Q17</f>
        <v>2560.1807449999997</v>
      </c>
      <c r="R30" s="7">
        <f t="shared" si="10"/>
        <v>2059.356178</v>
      </c>
      <c r="S30" s="7">
        <f t="shared" si="10"/>
        <v>2349.761184</v>
      </c>
      <c r="T30" s="7">
        <f t="shared" si="10"/>
        <v>2337.4510960000002</v>
      </c>
      <c r="U30" s="7">
        <f t="shared" si="10"/>
        <v>1898.9539950000003</v>
      </c>
      <c r="V30" s="7">
        <f t="shared" si="10"/>
        <v>2543.1442030000003</v>
      </c>
      <c r="W30" s="7">
        <f t="shared" si="10"/>
        <v>2710.6963679999999</v>
      </c>
      <c r="X30" s="7">
        <f t="shared" si="10"/>
        <v>2774.0444660000003</v>
      </c>
      <c r="Y30" s="7">
        <f t="shared" si="10"/>
        <v>3255.1792181000001</v>
      </c>
      <c r="Z30" s="7">
        <f t="shared" si="10"/>
        <v>3277.5666799999999</v>
      </c>
      <c r="AA30" s="7">
        <f t="shared" si="10"/>
        <v>3487.9971004449999</v>
      </c>
      <c r="AB30" s="7">
        <f t="shared" si="10"/>
        <v>2975.8560901000001</v>
      </c>
      <c r="AC30" s="7">
        <f t="shared" si="10"/>
        <v>2948.0043999999998</v>
      </c>
      <c r="AD30" s="7">
        <f t="shared" si="10"/>
        <v>2281.1530389999998</v>
      </c>
      <c r="AE30" s="7">
        <f t="shared" si="10"/>
        <v>2353.7716640999997</v>
      </c>
      <c r="AF30" s="1"/>
      <c r="AG30" s="1"/>
    </row>
    <row r="31" spans="1:33" x14ac:dyDescent="0.3">
      <c r="A31" s="1" t="s">
        <v>70</v>
      </c>
      <c r="B31" s="2" t="s">
        <v>32</v>
      </c>
      <c r="C31" s="1" t="s">
        <v>51</v>
      </c>
      <c r="D31" s="30" t="e">
        <f t="shared" ref="D31:AE31" si="12">D30/D7</f>
        <v>#DIV/0!</v>
      </c>
      <c r="E31" s="30" t="e">
        <f t="shared" si="12"/>
        <v>#DIV/0!</v>
      </c>
      <c r="F31" s="30" t="e">
        <f t="shared" si="12"/>
        <v>#DIV/0!</v>
      </c>
      <c r="G31" s="30" t="e">
        <f t="shared" si="12"/>
        <v>#DIV/0!</v>
      </c>
      <c r="H31" s="30">
        <f t="shared" si="12"/>
        <v>4.7265325810840242</v>
      </c>
      <c r="I31" s="30">
        <f t="shared" si="12"/>
        <v>4.225628799081858</v>
      </c>
      <c r="J31" s="30">
        <f t="shared" si="12"/>
        <v>6.6052001971279122</v>
      </c>
      <c r="K31" s="30">
        <f t="shared" si="12"/>
        <v>7.2838227549472743</v>
      </c>
      <c r="L31" s="30">
        <f t="shared" si="12"/>
        <v>5.7476368167929124</v>
      </c>
      <c r="M31" s="30">
        <f t="shared" si="12"/>
        <v>6.9037158035627399</v>
      </c>
      <c r="N31" s="30">
        <f t="shared" si="12"/>
        <v>3.3915665884102566</v>
      </c>
      <c r="O31" s="30">
        <f t="shared" si="12"/>
        <v>1.681762311234853</v>
      </c>
      <c r="P31" s="30">
        <f t="shared" si="12"/>
        <v>5.9159828524282885</v>
      </c>
      <c r="Q31" s="30">
        <f t="shared" ref="Q31" si="13">Q30/Q7</f>
        <v>6.0939146263560451</v>
      </c>
      <c r="R31" s="30">
        <f t="shared" si="12"/>
        <v>6.0376078322216689</v>
      </c>
      <c r="S31" s="30">
        <f t="shared" si="12"/>
        <v>7.471227592922145</v>
      </c>
      <c r="T31" s="30">
        <f t="shared" si="12"/>
        <v>5.2036404446225015</v>
      </c>
      <c r="U31" s="30">
        <f t="shared" si="12"/>
        <v>4.4306754337524019</v>
      </c>
      <c r="V31" s="30">
        <f t="shared" si="12"/>
        <v>5.0429693597156753</v>
      </c>
      <c r="W31" s="30">
        <f t="shared" si="12"/>
        <v>6.6437184785533425</v>
      </c>
      <c r="X31" s="30">
        <f t="shared" si="12"/>
        <v>6.9643148003602207</v>
      </c>
      <c r="Y31" s="30">
        <f t="shared" si="12"/>
        <v>6.6821022286057596</v>
      </c>
      <c r="Z31" s="30">
        <f t="shared" si="12"/>
        <v>6.7012199550194227</v>
      </c>
      <c r="AA31" s="30">
        <f t="shared" si="12"/>
        <v>6.9662414628420208</v>
      </c>
      <c r="AB31" s="30">
        <f t="shared" si="12"/>
        <v>5.4254441022789424</v>
      </c>
      <c r="AC31" s="30">
        <f t="shared" si="12"/>
        <v>6.0558841413311413</v>
      </c>
      <c r="AD31" s="30">
        <f t="shared" si="12"/>
        <v>5.440384066300977</v>
      </c>
      <c r="AE31" s="30">
        <f t="shared" si="12"/>
        <v>5.1191206265767715</v>
      </c>
      <c r="AF31" s="1"/>
      <c r="AG31" s="1"/>
    </row>
    <row r="32" spans="1:33" x14ac:dyDescent="0.3">
      <c r="A32" s="18" t="s">
        <v>72</v>
      </c>
      <c r="B32" s="17" t="s">
        <v>33</v>
      </c>
      <c r="C32" s="6" t="s">
        <v>109</v>
      </c>
      <c r="D32" s="29" t="e">
        <f t="shared" ref="D32:AE32" si="14">D7/D6</f>
        <v>#DIV/0!</v>
      </c>
      <c r="E32" s="29" t="e">
        <f t="shared" si="14"/>
        <v>#DIV/0!</v>
      </c>
      <c r="F32" s="29" t="e">
        <f t="shared" si="14"/>
        <v>#DIV/0!</v>
      </c>
      <c r="G32" s="29" t="e">
        <f t="shared" si="14"/>
        <v>#DIV/0!</v>
      </c>
      <c r="H32" s="29">
        <f t="shared" si="14"/>
        <v>0.37389948005978196</v>
      </c>
      <c r="I32" s="29">
        <f t="shared" si="14"/>
        <v>0.40286041741799988</v>
      </c>
      <c r="J32" s="29">
        <f t="shared" si="14"/>
        <v>0.35001914304829512</v>
      </c>
      <c r="K32" s="29">
        <f t="shared" si="14"/>
        <v>0.3200134991464223</v>
      </c>
      <c r="L32" s="29">
        <f t="shared" si="14"/>
        <v>0.33528881128053073</v>
      </c>
      <c r="M32" s="29">
        <f t="shared" si="14"/>
        <v>0.26697975829352577</v>
      </c>
      <c r="N32" s="27">
        <f t="shared" si="14"/>
        <v>0.4798048930215712</v>
      </c>
      <c r="O32" s="27">
        <f t="shared" si="14"/>
        <v>0.47517264257451652</v>
      </c>
      <c r="P32" s="27">
        <f t="shared" si="14"/>
        <v>0.27456107570347249</v>
      </c>
      <c r="Q32" s="27">
        <f t="shared" si="14"/>
        <v>0.29918671304861005</v>
      </c>
      <c r="R32" s="27">
        <f t="shared" si="14"/>
        <v>0.23658085226483563</v>
      </c>
      <c r="S32" s="27">
        <f t="shared" si="14"/>
        <v>0.22204270765812001</v>
      </c>
      <c r="T32" s="27">
        <f t="shared" si="14"/>
        <v>0.26607373960536518</v>
      </c>
      <c r="U32" s="27">
        <f t="shared" si="14"/>
        <v>0.2408168321546594</v>
      </c>
      <c r="V32" s="27">
        <f t="shared" si="14"/>
        <v>0.25827005757391974</v>
      </c>
      <c r="W32" s="27">
        <f t="shared" si="14"/>
        <v>0.20497702593338391</v>
      </c>
      <c r="X32" s="27">
        <f t="shared" si="14"/>
        <v>0.19934514178601923</v>
      </c>
      <c r="Y32" s="27">
        <f t="shared" si="14"/>
        <v>0.22845791696147055</v>
      </c>
      <c r="Z32" s="27">
        <f t="shared" si="14"/>
        <v>0.23575459226796863</v>
      </c>
      <c r="AA32" s="27">
        <f t="shared" si="14"/>
        <v>0.23130725141469974</v>
      </c>
      <c r="AB32" s="27">
        <f t="shared" si="14"/>
        <v>0.24954504094631483</v>
      </c>
      <c r="AC32" s="27">
        <f t="shared" si="14"/>
        <v>0.21839389860924183</v>
      </c>
      <c r="AD32" s="27">
        <f t="shared" si="14"/>
        <v>0.22458489555436531</v>
      </c>
      <c r="AE32" s="27">
        <f t="shared" si="14"/>
        <v>0.22255566311713457</v>
      </c>
      <c r="AF32" s="27">
        <f t="shared" ref="AF32:AG32" si="15">AF7/AF6</f>
        <v>0.21187994416007444</v>
      </c>
      <c r="AG32" s="27">
        <f t="shared" si="15"/>
        <v>0.21521656354117089</v>
      </c>
    </row>
    <row r="33" spans="1:33" x14ac:dyDescent="0.3">
      <c r="A33" s="16" t="s">
        <v>73</v>
      </c>
      <c r="B33" s="2" t="s">
        <v>34</v>
      </c>
      <c r="C33" s="1" t="s">
        <v>110</v>
      </c>
      <c r="D33" s="30" t="e">
        <f t="shared" ref="D33:AE33" si="16">D8/D6</f>
        <v>#DIV/0!</v>
      </c>
      <c r="E33" s="30" t="e">
        <f t="shared" si="16"/>
        <v>#DIV/0!</v>
      </c>
      <c r="F33" s="30" t="e">
        <f t="shared" si="16"/>
        <v>#DIV/0!</v>
      </c>
      <c r="G33" s="30" t="e">
        <f t="shared" si="16"/>
        <v>#DIV/0!</v>
      </c>
      <c r="H33" s="30">
        <f t="shared" si="16"/>
        <v>0.23391882468789682</v>
      </c>
      <c r="I33" s="30">
        <f t="shared" si="16"/>
        <v>0.27458241853160426</v>
      </c>
      <c r="J33" s="30">
        <f t="shared" si="16"/>
        <v>0.22323935885356888</v>
      </c>
      <c r="K33" s="30">
        <f t="shared" si="16"/>
        <v>0.2002832025722297</v>
      </c>
      <c r="L33" s="30">
        <f t="shared" si="16"/>
        <v>0.20679416431430381</v>
      </c>
      <c r="M33" s="30">
        <f t="shared" si="16"/>
        <v>9.755359854906373E-2</v>
      </c>
      <c r="N33" s="28">
        <f t="shared" si="16"/>
        <v>0.3743326862647523</v>
      </c>
      <c r="O33" s="28">
        <f t="shared" si="16"/>
        <v>0.36464176266326148</v>
      </c>
      <c r="P33" s="28">
        <f t="shared" si="16"/>
        <v>0.18296880509879551</v>
      </c>
      <c r="Q33" s="28">
        <f t="shared" si="16"/>
        <v>0.21598671616609325</v>
      </c>
      <c r="R33" s="28">
        <f t="shared" si="16"/>
        <v>0.15044948437998243</v>
      </c>
      <c r="S33" s="28">
        <f t="shared" si="16"/>
        <v>0.10887765268881543</v>
      </c>
      <c r="T33" s="28">
        <f t="shared" si="16"/>
        <v>0.16752110036348467</v>
      </c>
      <c r="U33" s="28">
        <f t="shared" si="16"/>
        <v>0.1478515463408383</v>
      </c>
      <c r="V33" s="28">
        <f t="shared" si="16"/>
        <v>0.1559378049987504</v>
      </c>
      <c r="W33" s="28">
        <f t="shared" si="16"/>
        <v>0.11986888906905038</v>
      </c>
      <c r="X33" s="28">
        <f t="shared" si="16"/>
        <v>0.11312185184285727</v>
      </c>
      <c r="Y33" s="28">
        <f t="shared" si="16"/>
        <v>0.13501076324431824</v>
      </c>
      <c r="Z33" s="28">
        <f t="shared" si="16"/>
        <v>0.11787031893561369</v>
      </c>
      <c r="AA33" s="28">
        <f t="shared" si="16"/>
        <v>0.12577626946868486</v>
      </c>
      <c r="AB33" s="28">
        <f t="shared" si="16"/>
        <v>0.14272065514103729</v>
      </c>
      <c r="AC33" s="28">
        <f t="shared" si="16"/>
        <v>0.10810228802153432</v>
      </c>
      <c r="AD33" s="28">
        <f t="shared" si="16"/>
        <v>0.10669523299410819</v>
      </c>
      <c r="AE33" s="28">
        <f t="shared" si="16"/>
        <v>0.12159244917715392</v>
      </c>
      <c r="AF33" s="28">
        <f t="shared" ref="AF33:AG33" si="17">AF8/AF6</f>
        <v>0.11002791996277338</v>
      </c>
      <c r="AG33" s="28">
        <f t="shared" si="17"/>
        <v>0.11000951927653498</v>
      </c>
    </row>
    <row r="34" spans="1:33" x14ac:dyDescent="0.3">
      <c r="A34" s="18" t="s">
        <v>74</v>
      </c>
      <c r="B34" s="17" t="s">
        <v>35</v>
      </c>
      <c r="C34" s="6" t="s">
        <v>54</v>
      </c>
      <c r="D34" s="29" t="e">
        <f t="shared" ref="D34:AE34" si="18">D11/D10</f>
        <v>#DIV/0!</v>
      </c>
      <c r="E34" s="29" t="e">
        <f t="shared" si="18"/>
        <v>#DIV/0!</v>
      </c>
      <c r="F34" s="29" t="e">
        <f t="shared" si="18"/>
        <v>#DIV/0!</v>
      </c>
      <c r="G34" s="29" t="e">
        <f t="shared" si="18"/>
        <v>#DIV/0!</v>
      </c>
      <c r="H34" s="29">
        <f t="shared" si="18"/>
        <v>0.43582037140319341</v>
      </c>
      <c r="I34" s="29">
        <f t="shared" si="18"/>
        <v>0.44739678399473964</v>
      </c>
      <c r="J34" s="29">
        <f t="shared" si="18"/>
        <v>0.40196362381478457</v>
      </c>
      <c r="K34" s="29">
        <f t="shared" si="18"/>
        <v>4.8880609295588226E-2</v>
      </c>
      <c r="L34" s="29">
        <f t="shared" si="18"/>
        <v>0.25898941072946308</v>
      </c>
      <c r="M34" s="29">
        <f t="shared" si="18"/>
        <v>0.33689527678754677</v>
      </c>
      <c r="N34" s="27">
        <f t="shared" si="18"/>
        <v>0.15864085335809239</v>
      </c>
      <c r="O34" s="27">
        <f t="shared" si="18"/>
        <v>0.13092480586778618</v>
      </c>
      <c r="P34" s="27">
        <f t="shared" si="18"/>
        <v>0.27683403243324667</v>
      </c>
      <c r="Q34" s="27">
        <f t="shared" si="18"/>
        <v>0.34176342215499617</v>
      </c>
      <c r="R34" s="27">
        <f t="shared" si="18"/>
        <v>0.14754133718240423</v>
      </c>
      <c r="S34" s="27">
        <f t="shared" si="18"/>
        <v>0.17394161106258163</v>
      </c>
      <c r="T34" s="27">
        <f t="shared" si="18"/>
        <v>0.26826397096843685</v>
      </c>
      <c r="U34" s="27">
        <f t="shared" si="18"/>
        <v>0.25083351438503676</v>
      </c>
      <c r="V34" s="27">
        <f t="shared" si="18"/>
        <v>0.29362942610558351</v>
      </c>
      <c r="W34" s="27">
        <f t="shared" si="18"/>
        <v>-0.25967577122467217</v>
      </c>
      <c r="X34" s="27">
        <f t="shared" si="18"/>
        <v>-0.24620398761489051</v>
      </c>
      <c r="Y34" s="27">
        <f t="shared" si="18"/>
        <v>0.21034828388704691</v>
      </c>
      <c r="Z34" s="27">
        <f t="shared" si="18"/>
        <v>-0.11206079074408186</v>
      </c>
      <c r="AA34" s="27">
        <f t="shared" si="18"/>
        <v>7.1012260804573915E-2</v>
      </c>
      <c r="AB34" s="27">
        <f t="shared" si="18"/>
        <v>0.17829425700514664</v>
      </c>
      <c r="AC34" s="27">
        <f t="shared" si="18"/>
        <v>0.12803472854922557</v>
      </c>
      <c r="AD34" s="27">
        <f t="shared" si="18"/>
        <v>7.7770576798444582E-2</v>
      </c>
      <c r="AE34" s="27">
        <f t="shared" si="18"/>
        <v>0.26102706158107819</v>
      </c>
      <c r="AF34" s="27">
        <f t="shared" ref="AF34:AG34" si="19">AF11/AF10</f>
        <v>0.25238867856499009</v>
      </c>
      <c r="AG34" s="27">
        <f t="shared" si="19"/>
        <v>0.34389140271493213</v>
      </c>
    </row>
    <row r="35" spans="1:33" x14ac:dyDescent="0.3">
      <c r="A35" s="16" t="s">
        <v>75</v>
      </c>
      <c r="B35" s="2" t="s">
        <v>36</v>
      </c>
      <c r="C35" s="1" t="s">
        <v>108</v>
      </c>
      <c r="D35" s="30" t="e">
        <f t="shared" ref="D35:AE35" si="20">D12/D6</f>
        <v>#DIV/0!</v>
      </c>
      <c r="E35" s="30" t="e">
        <f t="shared" si="20"/>
        <v>#DIV/0!</v>
      </c>
      <c r="F35" s="30" t="e">
        <f t="shared" si="20"/>
        <v>#DIV/0!</v>
      </c>
      <c r="G35" s="30" t="e">
        <f t="shared" si="20"/>
        <v>#DIV/0!</v>
      </c>
      <c r="H35" s="30">
        <f t="shared" si="20"/>
        <v>6.760054210106281E-2</v>
      </c>
      <c r="I35" s="30">
        <f t="shared" si="20"/>
        <v>8.4424843408210687E-2</v>
      </c>
      <c r="J35" s="30">
        <f t="shared" si="20"/>
        <v>6.6125744331033701E-2</v>
      </c>
      <c r="K35" s="30">
        <f t="shared" si="20"/>
        <v>8.8185675184566825E-2</v>
      </c>
      <c r="L35" s="30">
        <f t="shared" si="20"/>
        <v>6.2797034803720952E-2</v>
      </c>
      <c r="M35" s="30">
        <f t="shared" si="20"/>
        <v>9.5908897595669174E-2</v>
      </c>
      <c r="N35" s="28">
        <f t="shared" si="20"/>
        <v>0.28315916298010185</v>
      </c>
      <c r="O35" s="28">
        <f t="shared" si="20"/>
        <v>0.26064827135828644</v>
      </c>
      <c r="P35" s="28">
        <f t="shared" si="20"/>
        <v>6.0661442579701914E-2</v>
      </c>
      <c r="Q35" s="28">
        <f t="shared" si="20"/>
        <v>8.6846404621108195E-2</v>
      </c>
      <c r="R35" s="28">
        <f t="shared" si="20"/>
        <v>9.5291397560632013E-2</v>
      </c>
      <c r="S35" s="28">
        <f t="shared" si="20"/>
        <v>7.4654607618469399E-2</v>
      </c>
      <c r="T35" s="28">
        <f t="shared" si="20"/>
        <v>0.10327200755875221</v>
      </c>
      <c r="U35" s="28">
        <f t="shared" si="20"/>
        <v>9.503911547628742E-2</v>
      </c>
      <c r="V35" s="28">
        <f t="shared" si="20"/>
        <v>8.7350682357341114E-2</v>
      </c>
      <c r="W35" s="28">
        <f t="shared" si="20"/>
        <v>9.6027160598739766E-2</v>
      </c>
      <c r="X35" s="28">
        <f t="shared" si="20"/>
        <v>7.6203648802989743E-2</v>
      </c>
      <c r="Y35" s="28">
        <f t="shared" si="20"/>
        <v>6.1334854363385906E-2</v>
      </c>
      <c r="Z35" s="28">
        <f t="shared" si="20"/>
        <v>5.5383771522366794E-2</v>
      </c>
      <c r="AA35" s="28">
        <f t="shared" si="20"/>
        <v>5.7330197524594041E-2</v>
      </c>
      <c r="AB35" s="28">
        <f t="shared" si="20"/>
        <v>6.0327570518653319E-2</v>
      </c>
      <c r="AC35" s="28">
        <f t="shared" si="20"/>
        <v>5.5652759084791385E-2</v>
      </c>
      <c r="AD35" s="28">
        <f t="shared" si="20"/>
        <v>5.7096946973754684E-2</v>
      </c>
      <c r="AE35" s="28">
        <f t="shared" si="20"/>
        <v>5.4845111326234271E-2</v>
      </c>
      <c r="AF35" s="28">
        <f t="shared" ref="AF35:AG35" si="21">AF12/AF6</f>
        <v>3.8873894834806889E-2</v>
      </c>
      <c r="AG35" s="28">
        <f t="shared" si="21"/>
        <v>3.7934316991908613E-2</v>
      </c>
    </row>
    <row r="36" spans="1:33" x14ac:dyDescent="0.3">
      <c r="A36" s="18" t="s">
        <v>76</v>
      </c>
      <c r="B36" s="17" t="s">
        <v>37</v>
      </c>
      <c r="C36" s="6" t="s">
        <v>56</v>
      </c>
      <c r="D36" s="29" t="e">
        <f t="shared" ref="D36:G36" si="22">D26/D12</f>
        <v>#DIV/0!</v>
      </c>
      <c r="E36" s="29" t="e">
        <f t="shared" si="22"/>
        <v>#DIV/0!</v>
      </c>
      <c r="F36" s="29" t="e">
        <f t="shared" si="22"/>
        <v>#DIV/0!</v>
      </c>
      <c r="G36" s="29" t="e">
        <f t="shared" si="22"/>
        <v>#DIV/0!</v>
      </c>
      <c r="H36" s="29">
        <f t="shared" ref="H36:AE36" si="23">IF(H26/H12&lt;0,0,H26/H12)</f>
        <v>15.280915714697599</v>
      </c>
      <c r="I36" s="29">
        <f t="shared" si="23"/>
        <v>11.423942500206552</v>
      </c>
      <c r="J36" s="29">
        <f t="shared" si="23"/>
        <v>13.805132033698682</v>
      </c>
      <c r="K36" s="29">
        <f t="shared" si="23"/>
        <v>11.94806566873989</v>
      </c>
      <c r="L36" s="29">
        <f t="shared" si="23"/>
        <v>11.736495441990348</v>
      </c>
      <c r="M36" s="29">
        <f t="shared" si="23"/>
        <v>9.8420935410637274</v>
      </c>
      <c r="N36" s="29">
        <f t="shared" si="23"/>
        <v>2.1518014535502226</v>
      </c>
      <c r="O36" s="29">
        <f t="shared" si="23"/>
        <v>1.8706976718662354</v>
      </c>
      <c r="P36" s="29">
        <f t="shared" si="23"/>
        <v>10.59745870401964</v>
      </c>
      <c r="Q36" s="29">
        <f t="shared" si="23"/>
        <v>7.6722894288284573</v>
      </c>
      <c r="R36" s="29">
        <f t="shared" si="23"/>
        <v>4.879993531773982</v>
      </c>
      <c r="S36" s="29">
        <f t="shared" si="23"/>
        <v>7.6944058842558336</v>
      </c>
      <c r="T36" s="29">
        <f t="shared" si="23"/>
        <v>5.0683819745472318</v>
      </c>
      <c r="U36" s="29">
        <f t="shared" si="23"/>
        <v>3.3870869849413423</v>
      </c>
      <c r="V36" s="29">
        <f t="shared" si="23"/>
        <v>3.5577532951812993</v>
      </c>
      <c r="W36" s="29">
        <f t="shared" si="23"/>
        <v>4.5461758519016762</v>
      </c>
      <c r="X36" s="29">
        <f t="shared" si="23"/>
        <v>6.9086117739280883</v>
      </c>
      <c r="Y36" s="29">
        <f t="shared" si="23"/>
        <v>7.9281741619217128</v>
      </c>
      <c r="Z36" s="29">
        <f t="shared" si="23"/>
        <v>9.4697998259355973</v>
      </c>
      <c r="AA36" s="29">
        <f t="shared" si="23"/>
        <v>11.569427279975828</v>
      </c>
      <c r="AB36" s="29">
        <f t="shared" si="23"/>
        <v>7.9710112375565609</v>
      </c>
      <c r="AC36" s="29">
        <f t="shared" si="23"/>
        <v>8.8779072954453842</v>
      </c>
      <c r="AD36" s="29">
        <f t="shared" si="23"/>
        <v>6.8119422045028148</v>
      </c>
      <c r="AE36" s="29">
        <f t="shared" si="23"/>
        <v>8.247036131850674</v>
      </c>
      <c r="AF36" s="29">
        <f t="shared" ref="AF36:AG36" si="24">IF(AF26/AF12&lt;0,0,AF26/AF12)</f>
        <v>11.606585925544648</v>
      </c>
      <c r="AG36" s="29">
        <f t="shared" si="24"/>
        <v>12.165799099372647</v>
      </c>
    </row>
    <row r="37" spans="1:33" x14ac:dyDescent="0.3">
      <c r="A37" s="16" t="s">
        <v>77</v>
      </c>
      <c r="B37" s="2" t="s">
        <v>38</v>
      </c>
      <c r="C37" s="1" t="s">
        <v>57</v>
      </c>
      <c r="D37" s="30" t="e">
        <f t="shared" ref="D37:AD37" si="25">D26/D23</f>
        <v>#DIV/0!</v>
      </c>
      <c r="E37" s="30" t="e">
        <f t="shared" si="25"/>
        <v>#DIV/0!</v>
      </c>
      <c r="F37" s="30" t="e">
        <f t="shared" si="25"/>
        <v>#DIV/0!</v>
      </c>
      <c r="G37" s="30" t="e">
        <f t="shared" si="25"/>
        <v>#DIV/0!</v>
      </c>
      <c r="H37" s="30">
        <f t="shared" si="25"/>
        <v>2.111674573862985</v>
      </c>
      <c r="I37" s="30">
        <f t="shared" si="25"/>
        <v>2.1433351454210183</v>
      </c>
      <c r="J37" s="30">
        <f t="shared" si="25"/>
        <v>2.1901327965834607</v>
      </c>
      <c r="K37" s="30">
        <f t="shared" si="25"/>
        <v>2.6766828647609153</v>
      </c>
      <c r="L37" s="30">
        <f t="shared" si="25"/>
        <v>1.6120159397340501</v>
      </c>
      <c r="M37" s="30">
        <f t="shared" si="25"/>
        <v>1.6597544878031736</v>
      </c>
      <c r="N37" s="30">
        <f t="shared" si="25"/>
        <v>0.50779912181180054</v>
      </c>
      <c r="O37" s="30">
        <f t="shared" si="25"/>
        <v>0.59835409880956847</v>
      </c>
      <c r="P37" s="30">
        <f t="shared" si="25"/>
        <v>0.76734320476662188</v>
      </c>
      <c r="Q37" s="30">
        <f t="shared" si="25"/>
        <v>0.89049366067048086</v>
      </c>
      <c r="R37" s="30">
        <f t="shared" si="25"/>
        <v>0.59632934101109825</v>
      </c>
      <c r="S37" s="30">
        <f t="shared" si="25"/>
        <v>0.69474559923346624</v>
      </c>
      <c r="T37" s="30">
        <f t="shared" si="25"/>
        <v>0.71037097203908528</v>
      </c>
      <c r="U37" s="30">
        <f t="shared" si="25"/>
        <v>0.41454540950466084</v>
      </c>
      <c r="V37" s="30">
        <f t="shared" si="25"/>
        <v>0.53645897590063729</v>
      </c>
      <c r="W37" s="30">
        <f t="shared" si="25"/>
        <v>0.71887126319864458</v>
      </c>
      <c r="X37" s="30">
        <f t="shared" si="25"/>
        <v>0.85052762200214638</v>
      </c>
      <c r="Y37" s="30">
        <f t="shared" si="25"/>
        <v>1.447575236772302</v>
      </c>
      <c r="Z37" s="30">
        <f t="shared" si="25"/>
        <v>1.3313104123332928</v>
      </c>
      <c r="AA37" s="30">
        <f t="shared" si="25"/>
        <v>1.7023546661667064</v>
      </c>
      <c r="AB37" s="30">
        <f t="shared" si="25"/>
        <v>1.1870576034366578</v>
      </c>
      <c r="AC37" s="30">
        <f t="shared" si="25"/>
        <v>1.1464755361232564</v>
      </c>
      <c r="AD37" s="30">
        <f t="shared" si="25"/>
        <v>0.76533836319561555</v>
      </c>
      <c r="AE37" s="30">
        <f t="shared" ref="AE37" si="26">AE26/AE23</f>
        <v>0.91641822506619575</v>
      </c>
      <c r="AF37" s="1"/>
      <c r="AG37" s="1"/>
    </row>
    <row r="38" spans="1:33" x14ac:dyDescent="0.3">
      <c r="A38" s="18" t="s">
        <v>78</v>
      </c>
      <c r="B38" s="17" t="s">
        <v>39</v>
      </c>
      <c r="C38" s="6" t="s">
        <v>106</v>
      </c>
      <c r="D38" s="55" t="e">
        <f t="shared" ref="D38:AD38" si="27">D8/D23</f>
        <v>#DIV/0!</v>
      </c>
      <c r="E38" s="55" t="e">
        <f t="shared" si="27"/>
        <v>#DIV/0!</v>
      </c>
      <c r="F38" s="55" t="e">
        <f t="shared" si="27"/>
        <v>#DIV/0!</v>
      </c>
      <c r="G38" s="55" t="e">
        <f t="shared" si="27"/>
        <v>#DIV/0!</v>
      </c>
      <c r="H38" s="55">
        <f t="shared" si="27"/>
        <v>0.47818131830362481</v>
      </c>
      <c r="I38" s="55">
        <f t="shared" si="27"/>
        <v>0.61020609194466013</v>
      </c>
      <c r="J38" s="55">
        <f t="shared" si="27"/>
        <v>0.53558706150958901</v>
      </c>
      <c r="K38" s="55">
        <f t="shared" si="27"/>
        <v>0.50879847468557604</v>
      </c>
      <c r="L38" s="55">
        <f t="shared" si="27"/>
        <v>0.45230359425081318</v>
      </c>
      <c r="M38" s="55">
        <f t="shared" si="27"/>
        <v>0.17153026493713178</v>
      </c>
      <c r="N38" s="55">
        <f t="shared" si="27"/>
        <v>0.31197290708211423</v>
      </c>
      <c r="O38" s="55">
        <f t="shared" si="27"/>
        <v>0.44747236859605943</v>
      </c>
      <c r="P38" s="55">
        <f t="shared" si="27"/>
        <v>0.21839980011557189</v>
      </c>
      <c r="Q38" s="55">
        <f t="shared" si="27"/>
        <v>0.2886563077767354</v>
      </c>
      <c r="R38" s="55">
        <f t="shared" si="27"/>
        <v>0.19293185465490034</v>
      </c>
      <c r="S38" s="55">
        <f t="shared" si="27"/>
        <v>0.13168394985990364</v>
      </c>
      <c r="T38" s="55">
        <f t="shared" si="27"/>
        <v>0.22735408731147058</v>
      </c>
      <c r="U38" s="55">
        <f t="shared" si="27"/>
        <v>0.19040100904134097</v>
      </c>
      <c r="V38" s="55">
        <f t="shared" si="27"/>
        <v>0.26918186728949295</v>
      </c>
      <c r="W38" s="55">
        <f t="shared" si="27"/>
        <v>0.19738642674132337</v>
      </c>
      <c r="X38" s="55">
        <f t="shared" si="27"/>
        <v>0.18275462363242737</v>
      </c>
      <c r="Y38" s="55">
        <f t="shared" si="27"/>
        <v>0.40191018986458188</v>
      </c>
      <c r="Z38" s="55">
        <f t="shared" si="27"/>
        <v>0.29919922305151109</v>
      </c>
      <c r="AA38" s="55">
        <f t="shared" si="27"/>
        <v>0.32281481384870764</v>
      </c>
      <c r="AB38" s="55">
        <f t="shared" si="27"/>
        <v>0.35231356693620847</v>
      </c>
      <c r="AC38" s="55">
        <f t="shared" si="27"/>
        <v>0.250843222985634</v>
      </c>
      <c r="AD38" s="55">
        <f t="shared" si="27"/>
        <v>0.20994940978077573</v>
      </c>
      <c r="AE38" s="55">
        <f t="shared" ref="AE38" si="28">AE8/AE23</f>
        <v>0.24635677159949004</v>
      </c>
      <c r="AF38" s="1"/>
      <c r="AG38" s="1"/>
    </row>
    <row r="39" spans="1:33" x14ac:dyDescent="0.3">
      <c r="A39" s="16" t="s">
        <v>79</v>
      </c>
      <c r="B39" s="2" t="s">
        <v>40</v>
      </c>
      <c r="C39" s="1" t="s">
        <v>107</v>
      </c>
      <c r="D39" s="56" t="e">
        <f t="shared" ref="D39:AD39" si="29">D12/D23</f>
        <v>#DIV/0!</v>
      </c>
      <c r="E39" s="56" t="e">
        <f t="shared" si="29"/>
        <v>#DIV/0!</v>
      </c>
      <c r="F39" s="56" t="e">
        <f t="shared" si="29"/>
        <v>#DIV/0!</v>
      </c>
      <c r="G39" s="56" t="e">
        <f t="shared" si="29"/>
        <v>#DIV/0!</v>
      </c>
      <c r="H39" s="56">
        <f t="shared" si="29"/>
        <v>0.13819031616226501</v>
      </c>
      <c r="I39" s="56">
        <f t="shared" si="29"/>
        <v>0.18761781629960633</v>
      </c>
      <c r="J39" s="56">
        <f t="shared" si="29"/>
        <v>0.1586462767061764</v>
      </c>
      <c r="K39" s="56">
        <f t="shared" si="29"/>
        <v>0.22402646076544483</v>
      </c>
      <c r="L39" s="56">
        <f t="shared" si="29"/>
        <v>0.13735070640990887</v>
      </c>
      <c r="M39" s="56">
        <f t="shared" si="29"/>
        <v>0.1686383573655599</v>
      </c>
      <c r="N39" s="56">
        <f t="shared" si="29"/>
        <v>0.23598790723651153</v>
      </c>
      <c r="O39" s="56">
        <f t="shared" si="29"/>
        <v>0.31985611988956059</v>
      </c>
      <c r="P39" s="56">
        <f t="shared" si="29"/>
        <v>7.2408227877837045E-2</v>
      </c>
      <c r="Q39" s="56">
        <f t="shared" si="29"/>
        <v>0.11606622363912272</v>
      </c>
      <c r="R39" s="56">
        <f t="shared" si="29"/>
        <v>0.12219879742224163</v>
      </c>
      <c r="S39" s="56">
        <f t="shared" si="29"/>
        <v>9.0292299325545486E-2</v>
      </c>
      <c r="T39" s="56">
        <f t="shared" si="29"/>
        <v>0.14015734717834563</v>
      </c>
      <c r="U39" s="56">
        <f t="shared" si="29"/>
        <v>0.12238995081841395</v>
      </c>
      <c r="V39" s="56">
        <f t="shared" si="29"/>
        <v>0.15078588406543797</v>
      </c>
      <c r="W39" s="56">
        <f t="shared" si="29"/>
        <v>0.15812658520412029</v>
      </c>
      <c r="X39" s="56">
        <f t="shared" si="29"/>
        <v>0.12311121971159117</v>
      </c>
      <c r="Y39" s="56">
        <f t="shared" si="29"/>
        <v>0.18258620550048862</v>
      </c>
      <c r="Z39" s="56">
        <f t="shared" si="29"/>
        <v>0.14058485256331826</v>
      </c>
      <c r="AA39" s="56">
        <f t="shared" si="29"/>
        <v>0.14714251837799383</v>
      </c>
      <c r="AB39" s="56">
        <f t="shared" si="29"/>
        <v>0.14892183288409702</v>
      </c>
      <c r="AC39" s="56">
        <f t="shared" si="29"/>
        <v>0.12913803872579638</v>
      </c>
      <c r="AD39" s="56">
        <f t="shared" si="29"/>
        <v>0.11235244519392917</v>
      </c>
      <c r="AE39" s="56">
        <f t="shared" ref="AE39" si="30">AE12/AE23</f>
        <v>0.11112091791703442</v>
      </c>
      <c r="AF39" s="1"/>
      <c r="AG39" s="1"/>
    </row>
    <row r="40" spans="1:33" x14ac:dyDescent="0.3">
      <c r="A40" s="18" t="s">
        <v>80</v>
      </c>
      <c r="B40" s="17" t="s">
        <v>41</v>
      </c>
      <c r="C40" s="6" t="s">
        <v>61</v>
      </c>
      <c r="D40" s="7">
        <f t="shared" ref="D40:AD40" si="31">D20-D19</f>
        <v>0</v>
      </c>
      <c r="E40" s="7">
        <f t="shared" si="31"/>
        <v>0</v>
      </c>
      <c r="F40" s="7">
        <f t="shared" si="31"/>
        <v>0</v>
      </c>
      <c r="G40" s="7">
        <f t="shared" si="31"/>
        <v>0</v>
      </c>
      <c r="H40" s="7">
        <f t="shared" si="31"/>
        <v>40.803634999999986</v>
      </c>
      <c r="I40" s="7">
        <f t="shared" si="31"/>
        <v>-0.77100500000000238</v>
      </c>
      <c r="J40" s="7">
        <f t="shared" si="31"/>
        <v>36.943379999999991</v>
      </c>
      <c r="K40" s="7">
        <f t="shared" si="31"/>
        <v>114.88856899999998</v>
      </c>
      <c r="L40" s="7">
        <f t="shared" si="31"/>
        <v>21.712202000000019</v>
      </c>
      <c r="M40" s="7">
        <f t="shared" si="31"/>
        <v>271.01773900000001</v>
      </c>
      <c r="N40" s="7">
        <f t="shared" si="31"/>
        <v>5.1475050000000238</v>
      </c>
      <c r="O40" s="7">
        <f t="shared" si="31"/>
        <v>321.04655099999997</v>
      </c>
      <c r="P40" s="7">
        <f t="shared" si="31"/>
        <v>442.839114</v>
      </c>
      <c r="Q40" s="7">
        <f t="shared" si="31"/>
        <v>501.23915999999986</v>
      </c>
      <c r="R40" s="7">
        <f t="shared" si="31"/>
        <v>373.84956</v>
      </c>
      <c r="S40" s="7">
        <f t="shared" si="31"/>
        <v>-305.832176</v>
      </c>
      <c r="T40" s="7">
        <f t="shared" si="31"/>
        <v>235.53743299999996</v>
      </c>
      <c r="U40" s="7">
        <f t="shared" si="31"/>
        <v>329.32501600000001</v>
      </c>
      <c r="V40" s="7">
        <f t="shared" si="31"/>
        <v>206.14531699999986</v>
      </c>
      <c r="W40" s="7">
        <f t="shared" si="31"/>
        <v>573.54164400000002</v>
      </c>
      <c r="X40" s="7">
        <f t="shared" si="31"/>
        <v>75.213666999999987</v>
      </c>
      <c r="Y40" s="7">
        <f t="shared" si="31"/>
        <v>-85.730016000000091</v>
      </c>
      <c r="Z40" s="7">
        <f t="shared" si="31"/>
        <v>139.909085</v>
      </c>
      <c r="AA40" s="7">
        <f t="shared" si="31"/>
        <v>303.09694300000001</v>
      </c>
      <c r="AB40" s="7">
        <f t="shared" si="31"/>
        <v>81.200000000000045</v>
      </c>
      <c r="AC40" s="7">
        <f t="shared" si="31"/>
        <v>5.4000000000000909</v>
      </c>
      <c r="AD40" s="7">
        <f t="shared" si="31"/>
        <v>1.6000000000001364</v>
      </c>
      <c r="AE40" s="7">
        <f t="shared" ref="AE40" si="32">AE20-AE19</f>
        <v>96.699999999999932</v>
      </c>
      <c r="AF40" s="1"/>
      <c r="AG40" s="1"/>
    </row>
    <row r="41" spans="1:33" x14ac:dyDescent="0.3">
      <c r="A41" s="53" t="s">
        <v>96</v>
      </c>
      <c r="B41" s="49" t="s">
        <v>42</v>
      </c>
      <c r="C41" s="52" t="s">
        <v>98</v>
      </c>
      <c r="D41" s="29" t="e">
        <f>D20/D19</f>
        <v>#DIV/0!</v>
      </c>
      <c r="E41" s="29" t="e">
        <f t="shared" ref="E41:AD41" si="33">E20/E19</f>
        <v>#DIV/0!</v>
      </c>
      <c r="F41" s="29" t="e">
        <f t="shared" si="33"/>
        <v>#DIV/0!</v>
      </c>
      <c r="G41" s="29" t="e">
        <f t="shared" si="33"/>
        <v>#DIV/0!</v>
      </c>
      <c r="H41" s="29">
        <f t="shared" si="33"/>
        <v>1.7177716477487064</v>
      </c>
      <c r="I41" s="29">
        <f t="shared" si="33"/>
        <v>0.99270478371952942</v>
      </c>
      <c r="J41" s="29">
        <f t="shared" si="33"/>
        <v>1.3514067597321728</v>
      </c>
      <c r="K41" s="29">
        <f t="shared" si="33"/>
        <v>2.1928160928043035</v>
      </c>
      <c r="L41" s="29">
        <f t="shared" si="33"/>
        <v>1.1386049150574333</v>
      </c>
      <c r="M41" s="29">
        <f t="shared" si="33"/>
        <v>2.5087133235617416</v>
      </c>
      <c r="N41" s="29">
        <f t="shared" si="33"/>
        <v>1.0070234524946748</v>
      </c>
      <c r="O41" s="29">
        <f t="shared" si="33"/>
        <v>1.7058470078983292</v>
      </c>
      <c r="P41" s="29">
        <f t="shared" si="33"/>
        <v>2.046433242854548</v>
      </c>
      <c r="Q41" s="29">
        <f t="shared" si="33"/>
        <v>1.9388248515745743</v>
      </c>
      <c r="R41" s="29">
        <f t="shared" si="33"/>
        <v>1.8272235000592587</v>
      </c>
      <c r="S41" s="29">
        <f t="shared" si="33"/>
        <v>0.64759935274614333</v>
      </c>
      <c r="T41" s="29">
        <f t="shared" si="33"/>
        <v>1.4165587589865896</v>
      </c>
      <c r="U41" s="29">
        <f t="shared" si="33"/>
        <v>1.4533081443273268</v>
      </c>
      <c r="V41" s="29">
        <f t="shared" si="33"/>
        <v>1.2289743225704921</v>
      </c>
      <c r="W41" s="29">
        <f t="shared" si="33"/>
        <v>1.7761010587257915</v>
      </c>
      <c r="X41" s="29">
        <f t="shared" si="33"/>
        <v>1.063989620530299</v>
      </c>
      <c r="Y41" s="29">
        <f t="shared" si="33"/>
        <v>0.91265881958656114</v>
      </c>
      <c r="Z41" s="29">
        <f t="shared" si="33"/>
        <v>1.1818418105023654</v>
      </c>
      <c r="AA41" s="29">
        <f t="shared" si="33"/>
        <v>1.4006437141784838</v>
      </c>
      <c r="AB41" s="29">
        <f t="shared" si="33"/>
        <v>1.0876511226252159</v>
      </c>
      <c r="AC41" s="29">
        <f t="shared" si="33"/>
        <v>1.0055999170382661</v>
      </c>
      <c r="AD41" s="29">
        <f t="shared" si="33"/>
        <v>1.0015552099533438</v>
      </c>
      <c r="AE41" s="29">
        <f t="shared" ref="AE41" si="34">AE20/AE19</f>
        <v>1.1091915085817523</v>
      </c>
      <c r="AF41" s="1"/>
      <c r="AG41" s="1"/>
    </row>
    <row r="42" spans="1:33" x14ac:dyDescent="0.3">
      <c r="A42" s="16" t="s">
        <v>81</v>
      </c>
      <c r="B42" s="17" t="s">
        <v>43</v>
      </c>
      <c r="C42" s="1" t="s">
        <v>60</v>
      </c>
      <c r="D42" s="30" t="e">
        <f t="shared" ref="D42" si="35">(D20-D21)/D19</f>
        <v>#DIV/0!</v>
      </c>
      <c r="E42" s="30" t="e">
        <f t="shared" ref="E42:AD42" si="36">(E20-E21)/E19</f>
        <v>#DIV/0!</v>
      </c>
      <c r="F42" s="30" t="e">
        <f t="shared" si="36"/>
        <v>#DIV/0!</v>
      </c>
      <c r="G42" s="30" t="e">
        <f t="shared" si="36"/>
        <v>#DIV/0!</v>
      </c>
      <c r="H42" s="30">
        <f t="shared" si="36"/>
        <v>1.3248424231395293</v>
      </c>
      <c r="I42" s="30">
        <f t="shared" si="36"/>
        <v>0.75620576653301963</v>
      </c>
      <c r="J42" s="30">
        <f t="shared" si="36"/>
        <v>0.94500500352116534</v>
      </c>
      <c r="K42" s="30">
        <f t="shared" si="36"/>
        <v>1.7609245337937707</v>
      </c>
      <c r="L42" s="30">
        <f t="shared" si="36"/>
        <v>0.85132413223242953</v>
      </c>
      <c r="M42" s="30">
        <f t="shared" si="36"/>
        <v>2.2854797339231427</v>
      </c>
      <c r="N42" s="30">
        <f t="shared" si="36"/>
        <v>0.75053884154909123</v>
      </c>
      <c r="O42" s="30">
        <f t="shared" si="36"/>
        <v>1.3005133344825466</v>
      </c>
      <c r="P42" s="30">
        <f t="shared" si="36"/>
        <v>1.6418281338752807</v>
      </c>
      <c r="Q42" s="30">
        <f t="shared" si="36"/>
        <v>1.6064886208061993</v>
      </c>
      <c r="R42" s="30">
        <f t="shared" si="36"/>
        <v>1.1878140734123142</v>
      </c>
      <c r="S42" s="30">
        <f t="shared" si="36"/>
        <v>0.42884380745611822</v>
      </c>
      <c r="T42" s="30">
        <f t="shared" si="36"/>
        <v>1.0153811939285289</v>
      </c>
      <c r="U42" s="30">
        <f t="shared" si="36"/>
        <v>1.119079968670514</v>
      </c>
      <c r="V42" s="30">
        <f t="shared" si="36"/>
        <v>0.87650287875523636</v>
      </c>
      <c r="W42" s="30">
        <f t="shared" si="36"/>
        <v>1.3706308696516933</v>
      </c>
      <c r="X42" s="30">
        <f t="shared" si="36"/>
        <v>0.82094458243853785</v>
      </c>
      <c r="Y42" s="30">
        <f t="shared" si="36"/>
        <v>0.59707768262507122</v>
      </c>
      <c r="Z42" s="30">
        <f t="shared" si="36"/>
        <v>0.78059706936981488</v>
      </c>
      <c r="AA42" s="30">
        <f t="shared" si="36"/>
        <v>1.0295305510852504</v>
      </c>
      <c r="AB42" s="30">
        <f t="shared" si="36"/>
        <v>0.74881260794473237</v>
      </c>
      <c r="AC42" s="30">
        <f t="shared" si="36"/>
        <v>0.68785647620035273</v>
      </c>
      <c r="AD42" s="30">
        <f t="shared" si="36"/>
        <v>0.77167573872472794</v>
      </c>
      <c r="AE42" s="30">
        <f t="shared" ref="AE42" si="37">(AE20-AE21)/AE19</f>
        <v>0.80216802168021673</v>
      </c>
      <c r="AF42" s="1"/>
      <c r="AG42" s="1"/>
    </row>
    <row r="43" spans="1:33" x14ac:dyDescent="0.3">
      <c r="A43" s="18" t="s">
        <v>82</v>
      </c>
      <c r="B43" s="49" t="s">
        <v>44</v>
      </c>
      <c r="C43" s="6" t="s">
        <v>62</v>
      </c>
      <c r="D43" s="29" t="e">
        <f t="shared" ref="D43" si="38">D14/D19</f>
        <v>#DIV/0!</v>
      </c>
      <c r="E43" s="29" t="e">
        <f t="shared" ref="E43:AD43" si="39">E14/E19</f>
        <v>#DIV/0!</v>
      </c>
      <c r="F43" s="29" t="e">
        <f t="shared" si="39"/>
        <v>#DIV/0!</v>
      </c>
      <c r="G43" s="29" t="e">
        <f t="shared" si="39"/>
        <v>#DIV/0!</v>
      </c>
      <c r="H43" s="29">
        <f t="shared" si="39"/>
        <v>0.24446909903319669</v>
      </c>
      <c r="I43" s="29">
        <f t="shared" si="39"/>
        <v>0.12257728952396706</v>
      </c>
      <c r="J43" s="29">
        <f t="shared" si="39"/>
        <v>0.22205358122257132</v>
      </c>
      <c r="K43" s="29">
        <f t="shared" si="39"/>
        <v>0.47932399532232522</v>
      </c>
      <c r="L43" s="29">
        <f t="shared" si="39"/>
        <v>0.30886165203660676</v>
      </c>
      <c r="M43" s="29">
        <f t="shared" si="39"/>
        <v>1.8318244292841481</v>
      </c>
      <c r="N43" s="29">
        <f t="shared" si="39"/>
        <v>0.18308756110413082</v>
      </c>
      <c r="O43" s="29">
        <f t="shared" si="39"/>
        <v>0.46907108097977634</v>
      </c>
      <c r="P43" s="29">
        <f t="shared" si="39"/>
        <v>0.7233887440189174</v>
      </c>
      <c r="Q43" s="29">
        <f t="shared" si="39"/>
        <v>0.82176886784558811</v>
      </c>
      <c r="R43" s="29">
        <f t="shared" si="39"/>
        <v>0.45398908883285372</v>
      </c>
      <c r="S43" s="29">
        <f t="shared" si="39"/>
        <v>0.10259187189928123</v>
      </c>
      <c r="T43" s="29">
        <f t="shared" si="39"/>
        <v>0.46882614844617104</v>
      </c>
      <c r="U43" s="29">
        <f t="shared" si="39"/>
        <v>0.57219794175799787</v>
      </c>
      <c r="V43" s="29">
        <f t="shared" si="39"/>
        <v>0.45948751861104253</v>
      </c>
      <c r="W43" s="29">
        <f t="shared" si="39"/>
        <v>0.90168046710059213</v>
      </c>
      <c r="X43" s="29">
        <f t="shared" si="39"/>
        <v>0.51299100841289935</v>
      </c>
      <c r="Y43" s="29">
        <f t="shared" si="39"/>
        <v>0.21013202534379161</v>
      </c>
      <c r="Z43" s="29">
        <f t="shared" si="39"/>
        <v>0.23927902165861509</v>
      </c>
      <c r="AA43" s="29">
        <f t="shared" si="39"/>
        <v>0.3214530853514162</v>
      </c>
      <c r="AB43" s="29">
        <f t="shared" si="39"/>
        <v>0.19775474956822106</v>
      </c>
      <c r="AC43" s="29">
        <f t="shared" si="39"/>
        <v>0.26879601783677282</v>
      </c>
      <c r="AD43" s="29">
        <f t="shared" si="39"/>
        <v>0.43234836702954904</v>
      </c>
      <c r="AE43" s="29">
        <f t="shared" ref="AE43" si="40">AE14/AE19</f>
        <v>0.36540198735320689</v>
      </c>
      <c r="AF43" s="1"/>
      <c r="AG43" s="1"/>
    </row>
    <row r="44" spans="1:33" x14ac:dyDescent="0.3">
      <c r="A44" s="16" t="s">
        <v>83</v>
      </c>
      <c r="B44" s="17" t="s">
        <v>45</v>
      </c>
      <c r="C44" s="1" t="s">
        <v>63</v>
      </c>
      <c r="D44" s="30" t="e">
        <f t="shared" ref="D44:AD44" si="41">D29/D7</f>
        <v>#DIV/0!</v>
      </c>
      <c r="E44" s="30" t="e">
        <f t="shared" si="41"/>
        <v>#DIV/0!</v>
      </c>
      <c r="F44" s="30" t="e">
        <f t="shared" si="41"/>
        <v>#DIV/0!</v>
      </c>
      <c r="G44" s="30" t="e">
        <f t="shared" si="41"/>
        <v>#DIV/0!</v>
      </c>
      <c r="H44" s="30">
        <f t="shared" si="41"/>
        <v>0.70235378060792419</v>
      </c>
      <c r="I44" s="30">
        <f t="shared" si="41"/>
        <v>0.7146170973837368</v>
      </c>
      <c r="J44" s="30">
        <f t="shared" si="41"/>
        <v>2.8621954417759681</v>
      </c>
      <c r="K44" s="30">
        <f t="shared" si="41"/>
        <v>2.76123920168504</v>
      </c>
      <c r="L44" s="30">
        <f t="shared" si="41"/>
        <v>2.2751816726556884</v>
      </c>
      <c r="M44" s="30">
        <f t="shared" si="41"/>
        <v>3.3017562126839923</v>
      </c>
      <c r="N44" s="30">
        <f t="shared" si="41"/>
        <v>0.71320139316402031</v>
      </c>
      <c r="O44" s="30">
        <f t="shared" si="41"/>
        <v>-9.1789623233815842E-2</v>
      </c>
      <c r="P44" s="30">
        <f t="shared" si="41"/>
        <v>2.3048345932838679</v>
      </c>
      <c r="Q44" s="30">
        <f t="shared" si="41"/>
        <v>3.1411618501461036</v>
      </c>
      <c r="R44" s="30">
        <f t="shared" si="41"/>
        <v>3.1838568633260937</v>
      </c>
      <c r="S44" s="30">
        <f t="shared" si="41"/>
        <v>3.913273264599638</v>
      </c>
      <c r="T44" s="30">
        <f t="shared" si="41"/>
        <v>2.5451515636901596</v>
      </c>
      <c r="U44" s="30">
        <f t="shared" si="41"/>
        <v>2.3164830112262367</v>
      </c>
      <c r="V44" s="30">
        <f t="shared" si="41"/>
        <v>3.1749384329601336</v>
      </c>
      <c r="W44" s="30">
        <f t="shared" si="41"/>
        <v>3.709851138914452</v>
      </c>
      <c r="X44" s="30">
        <f t="shared" si="41"/>
        <v>3.4787576915971163</v>
      </c>
      <c r="Y44" s="30">
        <f t="shared" si="41"/>
        <v>3.7011093772814512</v>
      </c>
      <c r="Z44" s="30">
        <f t="shared" si="41"/>
        <v>3.6387905806583518</v>
      </c>
      <c r="AA44" s="30">
        <f t="shared" si="41"/>
        <v>3.3426877251847413</v>
      </c>
      <c r="AB44" s="30">
        <f t="shared" si="41"/>
        <v>2.8289881494986329</v>
      </c>
      <c r="AC44" s="30">
        <f t="shared" si="41"/>
        <v>3.1756368118323741</v>
      </c>
      <c r="AD44" s="30">
        <f t="shared" si="41"/>
        <v>3.0903887431433339</v>
      </c>
      <c r="AE44" s="30">
        <f t="shared" ref="AE44" si="42">AE29/AE7</f>
        <v>2.5426272292300998</v>
      </c>
      <c r="AF44" s="1"/>
      <c r="AG44" s="1"/>
    </row>
    <row r="45" spans="1:33" x14ac:dyDescent="0.3">
      <c r="A45" s="18" t="s">
        <v>84</v>
      </c>
      <c r="B45" s="54" t="s">
        <v>99</v>
      </c>
      <c r="C45" s="6" t="s">
        <v>64</v>
      </c>
      <c r="D45" s="29" t="e">
        <f t="shared" ref="D45:AD45" si="43">D18/D23</f>
        <v>#DIV/0!</v>
      </c>
      <c r="E45" s="29" t="e">
        <f t="shared" si="43"/>
        <v>#DIV/0!</v>
      </c>
      <c r="F45" s="29" t="e">
        <f t="shared" si="43"/>
        <v>#DIV/0!</v>
      </c>
      <c r="G45" s="29" t="e">
        <f t="shared" si="43"/>
        <v>#DIV/0!</v>
      </c>
      <c r="H45" s="29">
        <f t="shared" si="43"/>
        <v>1.0149573009710557</v>
      </c>
      <c r="I45" s="29">
        <f t="shared" si="43"/>
        <v>1.2989745101098402</v>
      </c>
      <c r="J45" s="29">
        <f t="shared" si="43"/>
        <v>2.9607655430740349</v>
      </c>
      <c r="K45" s="29">
        <f t="shared" si="43"/>
        <v>3.019104013269478</v>
      </c>
      <c r="L45" s="29">
        <f t="shared" si="43"/>
        <v>2.3587291066229659</v>
      </c>
      <c r="M45" s="29">
        <f t="shared" si="43"/>
        <v>3.7226718709228122</v>
      </c>
      <c r="N45" s="29">
        <f t="shared" si="43"/>
        <v>3.3403808518525278</v>
      </c>
      <c r="O45" s="29">
        <f t="shared" si="43"/>
        <v>1.7866012439337928</v>
      </c>
      <c r="P45" s="29">
        <f t="shared" si="43"/>
        <v>1.8011897747495078</v>
      </c>
      <c r="Q45" s="29">
        <f t="shared" si="43"/>
        <v>2.0999768246464612</v>
      </c>
      <c r="R45" s="29">
        <f t="shared" si="43"/>
        <v>1.9178530716318722</v>
      </c>
      <c r="S45" s="29">
        <f t="shared" si="43"/>
        <v>1.8805423465092515</v>
      </c>
      <c r="T45" s="29">
        <f t="shared" si="43"/>
        <v>1.8696280021088933</v>
      </c>
      <c r="U45" s="29">
        <f t="shared" si="43"/>
        <v>1.7391476834804767</v>
      </c>
      <c r="V45" s="29">
        <f t="shared" si="43"/>
        <v>2.7377877869322189</v>
      </c>
      <c r="W45" s="29">
        <f t="shared" si="43"/>
        <v>2.5933334038055551</v>
      </c>
      <c r="X45" s="29">
        <f t="shared" si="43"/>
        <v>2.3187003919307432</v>
      </c>
      <c r="Y45" s="29">
        <f t="shared" si="43"/>
        <v>4.6796035180790172</v>
      </c>
      <c r="Z45" s="29">
        <f t="shared" si="43"/>
        <v>4.0023247277621437</v>
      </c>
      <c r="AA45" s="29">
        <f t="shared" si="43"/>
        <v>3.7272942850367561</v>
      </c>
      <c r="AB45" s="29">
        <f t="shared" si="43"/>
        <v>3.4837151841868823</v>
      </c>
      <c r="AC45" s="29">
        <f t="shared" si="43"/>
        <v>3.186550072871122</v>
      </c>
      <c r="AD45" s="29">
        <f t="shared" si="43"/>
        <v>3.0377318718381114</v>
      </c>
      <c r="AE45" s="29">
        <f t="shared" ref="AE45" si="44">AE18/AE23</f>
        <v>2.6930469746003722</v>
      </c>
      <c r="AF45" s="1"/>
      <c r="AG45" s="1"/>
    </row>
    <row r="46" spans="1:33" x14ac:dyDescent="0.3">
      <c r="A46" s="18" t="s">
        <v>97</v>
      </c>
      <c r="B46" s="17" t="s">
        <v>100</v>
      </c>
      <c r="C46" s="6" t="s">
        <v>111</v>
      </c>
      <c r="D46" s="28">
        <f t="shared" ref="D46:AG46" si="45">D13/D4</f>
        <v>0</v>
      </c>
      <c r="E46" s="28">
        <f t="shared" si="45"/>
        <v>0</v>
      </c>
      <c r="F46" s="28">
        <f t="shared" si="45"/>
        <v>0</v>
      </c>
      <c r="G46" s="28">
        <f t="shared" si="45"/>
        <v>0</v>
      </c>
      <c r="H46" s="28">
        <f t="shared" si="45"/>
        <v>0.11232509860356039</v>
      </c>
      <c r="I46" s="28">
        <f t="shared" si="45"/>
        <v>0.11026225413266373</v>
      </c>
      <c r="J46" s="28">
        <f t="shared" si="45"/>
        <v>0.10528264698264699</v>
      </c>
      <c r="K46" s="28">
        <f t="shared" si="45"/>
        <v>7.4139367914154625E-2</v>
      </c>
      <c r="L46" s="28">
        <f t="shared" si="45"/>
        <v>0.14821652851458883</v>
      </c>
      <c r="M46" s="28">
        <f t="shared" si="45"/>
        <v>3.2333577586206898E-2</v>
      </c>
      <c r="N46" s="28">
        <f t="shared" si="45"/>
        <v>0.29890695001336542</v>
      </c>
      <c r="O46" s="28">
        <f t="shared" si="45"/>
        <v>4.5123938166997377E-2</v>
      </c>
      <c r="P46" s="28">
        <f t="shared" si="45"/>
        <v>8.1396479454883347E-2</v>
      </c>
      <c r="Q46" s="28">
        <f t="shared" si="45"/>
        <v>3.8278333749791775E-2</v>
      </c>
      <c r="R46" s="28">
        <f t="shared" si="45"/>
        <v>5.5842577506886239E-2</v>
      </c>
      <c r="S46" s="28">
        <f t="shared" si="45"/>
        <v>6.3195199292061494E-2</v>
      </c>
      <c r="T46" s="28">
        <f t="shared" si="45"/>
        <v>0.11681751125998686</v>
      </c>
      <c r="U46" s="28">
        <f t="shared" si="45"/>
        <v>6.6902550138765258E-3</v>
      </c>
      <c r="V46" s="28">
        <f t="shared" si="45"/>
        <v>0.11497499052421681</v>
      </c>
      <c r="W46" s="28">
        <f t="shared" si="45"/>
        <v>7.9978733443041766E-2</v>
      </c>
      <c r="X46" s="28">
        <f t="shared" si="45"/>
        <v>7.3587866176403491E-2</v>
      </c>
      <c r="Y46" s="28">
        <f t="shared" si="45"/>
        <v>0.20452873468409316</v>
      </c>
      <c r="Z46" s="28">
        <f t="shared" si="45"/>
        <v>3.3582089552238806E-2</v>
      </c>
      <c r="AA46" s="28">
        <f t="shared" si="45"/>
        <v>2.8659735880865411E-2</v>
      </c>
      <c r="AB46" s="28">
        <f t="shared" si="45"/>
        <v>3.8931297709923665E-2</v>
      </c>
      <c r="AC46" s="28">
        <f t="shared" si="45"/>
        <v>3.7172011661807579E-2</v>
      </c>
      <c r="AD46" s="28">
        <f t="shared" si="45"/>
        <v>1.4444444444444446E-2</v>
      </c>
      <c r="AE46" s="28">
        <f t="shared" si="45"/>
        <v>3.5897435897435902E-2</v>
      </c>
      <c r="AF46" s="28">
        <f t="shared" si="45"/>
        <v>2.5535420098846785E-2</v>
      </c>
      <c r="AG46" s="28">
        <f t="shared" si="45"/>
        <v>2.2240527182866558E-2</v>
      </c>
    </row>
  </sheetData>
  <mergeCells count="2">
    <mergeCell ref="A6:A13"/>
    <mergeCell ref="A14:A2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BED8-9075-4052-BCCF-6440FF75CC6A}">
  <sheetPr codeName="Planilha37"/>
  <dimension ref="A3:AA46"/>
  <sheetViews>
    <sheetView workbookViewId="0">
      <pane xSplit="3" ySplit="3" topLeftCell="I4" activePane="bottomRight" state="frozen"/>
      <selection activeCell="C22" sqref="C22"/>
      <selection pane="topRight" activeCell="C22" sqref="C22"/>
      <selection pane="bottomLeft" activeCell="C22" sqref="C22"/>
      <selection pane="bottomRight" activeCell="AB6" sqref="AB6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26" width="8.33203125" customWidth="1"/>
  </cols>
  <sheetData>
    <row r="3" spans="1:27" s="10" customFormat="1" x14ac:dyDescent="0.3">
      <c r="A3" s="9" t="s">
        <v>25</v>
      </c>
      <c r="B3" s="8" t="s">
        <v>23</v>
      </c>
      <c r="C3" s="9" t="s">
        <v>24</v>
      </c>
      <c r="D3" s="8">
        <v>99</v>
      </c>
      <c r="E3" s="8">
        <v>2000</v>
      </c>
      <c r="F3" s="8">
        <v>1</v>
      </c>
      <c r="G3" s="8">
        <v>2</v>
      </c>
      <c r="H3" s="8">
        <v>3</v>
      </c>
      <c r="I3" s="8">
        <v>4</v>
      </c>
      <c r="J3" s="8">
        <v>5</v>
      </c>
      <c r="K3" s="8">
        <v>6</v>
      </c>
      <c r="L3" s="8">
        <v>7</v>
      </c>
      <c r="M3" s="8">
        <v>8</v>
      </c>
      <c r="N3" s="8">
        <v>9</v>
      </c>
      <c r="O3" s="8">
        <v>10</v>
      </c>
      <c r="P3" s="8">
        <v>11</v>
      </c>
      <c r="Q3" s="8">
        <v>12</v>
      </c>
      <c r="R3" s="8">
        <v>13</v>
      </c>
      <c r="S3" s="8">
        <v>14</v>
      </c>
      <c r="T3" s="8">
        <v>15</v>
      </c>
      <c r="U3" s="8">
        <v>16</v>
      </c>
      <c r="V3" s="8">
        <v>17</v>
      </c>
      <c r="W3" s="8">
        <v>18</v>
      </c>
      <c r="X3" s="8">
        <v>19</v>
      </c>
      <c r="Y3" s="8">
        <v>20</v>
      </c>
      <c r="Z3" s="8" t="s">
        <v>3</v>
      </c>
      <c r="AA3" s="8" t="s">
        <v>94</v>
      </c>
    </row>
    <row r="4" spans="1:27" x14ac:dyDescent="0.3">
      <c r="A4" s="4" t="s">
        <v>5</v>
      </c>
      <c r="B4" s="11">
        <v>1</v>
      </c>
      <c r="C4" s="6" t="s">
        <v>4</v>
      </c>
      <c r="D4" s="19">
        <v>11</v>
      </c>
      <c r="E4" s="19">
        <v>7.79</v>
      </c>
      <c r="F4" s="19">
        <v>3.07</v>
      </c>
      <c r="G4" s="19">
        <v>1.57</v>
      </c>
      <c r="H4" s="19">
        <v>2.37</v>
      </c>
      <c r="I4" s="19">
        <v>3.8</v>
      </c>
      <c r="J4" s="19">
        <v>3.66</v>
      </c>
      <c r="K4" s="19">
        <v>5.0199999999999996</v>
      </c>
      <c r="L4" s="19">
        <v>3.3</v>
      </c>
      <c r="M4" s="19">
        <v>1</v>
      </c>
      <c r="N4" s="19">
        <v>1.9319999999999999</v>
      </c>
      <c r="O4" s="19">
        <v>1.35</v>
      </c>
      <c r="P4" s="19">
        <v>1.2150000000000001</v>
      </c>
      <c r="Q4" s="19">
        <v>1.4810000000000001</v>
      </c>
      <c r="R4" s="19">
        <v>2.569</v>
      </c>
      <c r="S4" s="19">
        <v>1.45</v>
      </c>
      <c r="T4" s="19">
        <v>2.0699999999999998</v>
      </c>
      <c r="U4" s="19">
        <v>2.5510000000000002</v>
      </c>
      <c r="V4" s="19">
        <v>2.52</v>
      </c>
      <c r="W4" s="19">
        <v>2.4700000000000002</v>
      </c>
      <c r="X4" s="19">
        <v>1.9850000000000001</v>
      </c>
      <c r="Y4" s="19">
        <v>1.4</v>
      </c>
      <c r="Z4" s="19">
        <v>1.6850000000000001</v>
      </c>
      <c r="AA4" s="1">
        <v>1.64</v>
      </c>
    </row>
    <row r="5" spans="1:27" x14ac:dyDescent="0.3">
      <c r="A5" s="5" t="s">
        <v>8</v>
      </c>
      <c r="B5" s="12">
        <v>3</v>
      </c>
      <c r="C5" s="1" t="s">
        <v>86</v>
      </c>
      <c r="D5" s="3"/>
      <c r="E5" s="3">
        <v>181</v>
      </c>
      <c r="F5" s="3">
        <v>181</v>
      </c>
      <c r="G5" s="3">
        <v>181</v>
      </c>
      <c r="H5" s="3">
        <v>226.25</v>
      </c>
      <c r="I5" s="3">
        <v>226.25</v>
      </c>
      <c r="J5" s="3">
        <v>226.25</v>
      </c>
      <c r="K5" s="3">
        <v>296.52999999999997</v>
      </c>
      <c r="L5" s="3">
        <v>366.25</v>
      </c>
      <c r="M5" s="3">
        <v>364.35</v>
      </c>
      <c r="N5" s="3">
        <v>362</v>
      </c>
      <c r="O5" s="3">
        <v>358</v>
      </c>
      <c r="P5" s="3">
        <v>357.2</v>
      </c>
      <c r="Q5" s="3">
        <v>359.4</v>
      </c>
      <c r="R5" s="3">
        <v>360.9</v>
      </c>
      <c r="S5" s="3">
        <v>314.89999999999998</v>
      </c>
      <c r="T5" s="3">
        <v>305.77</v>
      </c>
      <c r="U5" s="3">
        <v>305.77</v>
      </c>
      <c r="V5" s="3">
        <v>305.77</v>
      </c>
      <c r="W5" s="3">
        <v>305.8</v>
      </c>
      <c r="X5" s="3">
        <v>305.8</v>
      </c>
      <c r="Y5" s="3">
        <v>305.8</v>
      </c>
      <c r="Z5" s="3">
        <v>305.8</v>
      </c>
      <c r="AA5" s="3">
        <v>305.8</v>
      </c>
    </row>
    <row r="6" spans="1:27" x14ac:dyDescent="0.3">
      <c r="A6" s="101" t="s">
        <v>7</v>
      </c>
      <c r="B6" s="13">
        <v>4</v>
      </c>
      <c r="C6" s="6" t="s">
        <v>104</v>
      </c>
      <c r="D6" s="7"/>
      <c r="E6" s="7">
        <f>109551946/1000000</f>
        <v>109.551946</v>
      </c>
      <c r="F6" s="7">
        <f>153267386/1000000</f>
        <v>153.26738599999999</v>
      </c>
      <c r="G6" s="7">
        <f>788946395/1000000</f>
        <v>788.94639500000005</v>
      </c>
      <c r="H6" s="7">
        <f>837742344/1000000</f>
        <v>837.742344</v>
      </c>
      <c r="I6" s="7">
        <f>108049977/1000000</f>
        <v>108.049977</v>
      </c>
      <c r="J6" s="7">
        <f>868075819/1000000</f>
        <v>868.07581900000002</v>
      </c>
      <c r="K6" s="7">
        <f>899114867/1000000</f>
        <v>899.114867</v>
      </c>
      <c r="L6" s="7">
        <f>79052510/1000000</f>
        <v>79.052509999999998</v>
      </c>
      <c r="M6" s="7">
        <f>364.35</f>
        <v>364.35</v>
      </c>
      <c r="N6" s="7">
        <f>956431845/1000000</f>
        <v>956.43184499999995</v>
      </c>
      <c r="O6" s="7">
        <f>928943972/1000000</f>
        <v>928.94397200000003</v>
      </c>
      <c r="P6" s="7">
        <f>872443700/1000000</f>
        <v>872.44370000000004</v>
      </c>
      <c r="Q6" s="7">
        <f>106657878/1000000</f>
        <v>106.657878</v>
      </c>
      <c r="R6" s="7">
        <f>120449875/1000000</f>
        <v>120.44987500000001</v>
      </c>
      <c r="S6" s="7">
        <f>124478260/1000000</f>
        <v>124.47826000000001</v>
      </c>
      <c r="T6" s="7">
        <f>131885198/1000000</f>
        <v>131.885198</v>
      </c>
      <c r="U6" s="7">
        <f>132044766/1000000</f>
        <v>132.04476600000001</v>
      </c>
      <c r="V6" s="7">
        <f>142220951/1000000</f>
        <v>142.22095100000001</v>
      </c>
      <c r="W6" s="7">
        <v>111.1</v>
      </c>
      <c r="X6" s="7">
        <v>134.80000000000001</v>
      </c>
      <c r="Y6" s="7">
        <v>132.30000000000001</v>
      </c>
      <c r="Z6" s="7"/>
      <c r="AA6" s="1"/>
    </row>
    <row r="7" spans="1:27" x14ac:dyDescent="0.3">
      <c r="A7" s="101"/>
      <c r="B7" s="13">
        <v>5</v>
      </c>
      <c r="C7" s="1" t="s">
        <v>9</v>
      </c>
      <c r="D7" s="3"/>
      <c r="E7" s="3">
        <f>E8+(20611425/1000000)</f>
        <v>33.425125000000001</v>
      </c>
      <c r="F7" s="3">
        <f>F8+(26937797/1000000)</f>
        <v>48.153125000000003</v>
      </c>
      <c r="G7" s="3">
        <f>G8+(129313578/1000000)</f>
        <v>71.545436000000009</v>
      </c>
      <c r="H7" s="3">
        <f>H8+(129392972/1000000)</f>
        <v>145.536565</v>
      </c>
      <c r="I7" s="3">
        <f>I8+(125197734/1000000)</f>
        <v>200.613528</v>
      </c>
      <c r="J7" s="3">
        <f>J8+(128222823/1000000)</f>
        <v>156.87588199999999</v>
      </c>
      <c r="K7" s="3">
        <f>K8+(135670907/1000000)</f>
        <v>-683.73776599999997</v>
      </c>
      <c r="L7" s="3">
        <f>L8+(139982820/1000000)</f>
        <v>-737.12084800000002</v>
      </c>
      <c r="M7" s="3">
        <f>M8+(157575667/1000000)</f>
        <v>-826.3276229999999</v>
      </c>
      <c r="N7" s="3">
        <f>N8+(151774270/1000000)</f>
        <v>-780.76306199999999</v>
      </c>
      <c r="O7" s="3">
        <f>O8+(129542660/1000000)</f>
        <v>-734.93243200000006</v>
      </c>
      <c r="P7" s="3">
        <f>P8+(130495567/1000000)</f>
        <v>-659.45795999999996</v>
      </c>
      <c r="Q7" s="3">
        <f t="shared" ref="Q7:R7" si="0">Q8+(130495567/1000000)</f>
        <v>4.8881999999999977</v>
      </c>
      <c r="R7" s="3">
        <f t="shared" si="0"/>
        <v>9.3163089999999897</v>
      </c>
      <c r="S7" s="3">
        <f>S8+(7142387/1000000)</f>
        <v>-116.995634</v>
      </c>
      <c r="T7" s="3">
        <v>1.1000000000000001</v>
      </c>
      <c r="U7" s="3">
        <v>-4.2</v>
      </c>
      <c r="V7" s="3">
        <v>0.3</v>
      </c>
      <c r="W7" s="3">
        <v>-4.5999999999999996</v>
      </c>
      <c r="X7" s="3">
        <v>-9.9</v>
      </c>
      <c r="Y7" s="3">
        <v>-3.9</v>
      </c>
      <c r="Z7" s="3"/>
      <c r="AA7" s="1"/>
    </row>
    <row r="8" spans="1:27" x14ac:dyDescent="0.3">
      <c r="A8" s="101"/>
      <c r="B8" s="13">
        <v>6</v>
      </c>
      <c r="C8" s="6" t="s">
        <v>10</v>
      </c>
      <c r="D8" s="7"/>
      <c r="E8" s="7">
        <f>12813700/1000000</f>
        <v>12.813700000000001</v>
      </c>
      <c r="F8" s="7">
        <f>21215328/1000000</f>
        <v>21.215328</v>
      </c>
      <c r="G8" s="7">
        <f>-57768142/1000000</f>
        <v>-57.768141999999997</v>
      </c>
      <c r="H8" s="7">
        <f>16143593/1000000</f>
        <v>16.143592999999999</v>
      </c>
      <c r="I8" s="7">
        <f>75415794/1000000</f>
        <v>75.415794000000005</v>
      </c>
      <c r="J8" s="7">
        <f>28653059/1000000</f>
        <v>28.653058999999999</v>
      </c>
      <c r="K8" s="7">
        <f>-819408673/1000000</f>
        <v>-819.40867300000002</v>
      </c>
      <c r="L8" s="7">
        <f>-877103668/1000000</f>
        <v>-877.10366799999997</v>
      </c>
      <c r="M8" s="7">
        <f>-983903290/1000000</f>
        <v>-983.90328999999997</v>
      </c>
      <c r="N8" s="7">
        <f>-932537332/1000000</f>
        <v>-932.53733199999999</v>
      </c>
      <c r="O8" s="7">
        <f>-864475092/1000000</f>
        <v>-864.47509200000002</v>
      </c>
      <c r="P8" s="7">
        <f>-789953527/1000000</f>
        <v>-789.95352700000001</v>
      </c>
      <c r="Q8" s="7">
        <f>-125607367/1000000</f>
        <v>-125.607367</v>
      </c>
      <c r="R8" s="7">
        <f>-121179258/1000000</f>
        <v>-121.179258</v>
      </c>
      <c r="S8" s="7">
        <f>-124138021/1000000</f>
        <v>-124.13802099999999</v>
      </c>
      <c r="T8" s="7">
        <v>-7.2</v>
      </c>
      <c r="U8" s="7">
        <v>-14.7</v>
      </c>
      <c r="V8" s="7">
        <v>-9.1</v>
      </c>
      <c r="W8" s="7">
        <v>-10.6</v>
      </c>
      <c r="X8" s="7">
        <v>-20.100000000000001</v>
      </c>
      <c r="Y8" s="7">
        <v>-12.8</v>
      </c>
      <c r="Z8" s="7"/>
      <c r="AA8" s="1"/>
    </row>
    <row r="9" spans="1:27" x14ac:dyDescent="0.3">
      <c r="A9" s="101"/>
      <c r="B9" s="13">
        <v>11</v>
      </c>
      <c r="C9" s="1" t="s">
        <v>11</v>
      </c>
      <c r="D9" s="3"/>
      <c r="E9" s="3">
        <f>-3453496/1000000</f>
        <v>-3.4534959999999999</v>
      </c>
      <c r="F9" s="3">
        <f>-5439370/1000000</f>
        <v>-5.4393700000000003</v>
      </c>
      <c r="G9" s="3">
        <f>G8-G10</f>
        <v>-146.77849499999999</v>
      </c>
      <c r="H9" s="3">
        <f>H10-H8</f>
        <v>-8.2949669999999998</v>
      </c>
      <c r="I9" s="3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"/>
      <c r="Y9" s="3"/>
      <c r="Z9" s="3"/>
      <c r="AA9" s="1"/>
    </row>
    <row r="10" spans="1:27" x14ac:dyDescent="0.3">
      <c r="A10" s="101"/>
      <c r="B10" s="13">
        <v>12</v>
      </c>
      <c r="C10" s="6" t="s">
        <v>12</v>
      </c>
      <c r="D10" s="7"/>
      <c r="E10" s="7">
        <f>16016248/1000000</f>
        <v>16.016248000000001</v>
      </c>
      <c r="F10" s="7">
        <f>29074799/1000000</f>
        <v>29.074798999999999</v>
      </c>
      <c r="G10" s="7">
        <f>89010353/1000000</f>
        <v>89.010352999999995</v>
      </c>
      <c r="H10" s="7">
        <f>7848626/1000000</f>
        <v>7.8486260000000003</v>
      </c>
      <c r="I10" s="7">
        <f>56983892/1000000</f>
        <v>56.983891999999997</v>
      </c>
      <c r="J10" s="7">
        <f>28653059/1000000</f>
        <v>28.653058999999999</v>
      </c>
      <c r="K10" s="19">
        <f>391212/1000000</f>
        <v>0.391212</v>
      </c>
      <c r="L10" s="19">
        <f>530115/1000000</f>
        <v>0.530115</v>
      </c>
      <c r="M10" s="7">
        <f>14956917/1000000</f>
        <v>14.956917000000001</v>
      </c>
      <c r="N10" s="7">
        <f>11201295/1000000</f>
        <v>11.201295</v>
      </c>
      <c r="O10" s="7">
        <f>58097553/1000000</f>
        <v>58.097552999999998</v>
      </c>
      <c r="P10" s="7">
        <f>10162971/1000000</f>
        <v>10.162971000000001</v>
      </c>
      <c r="Q10" s="7">
        <f>-33166514/1000000</f>
        <v>-33.166513999999999</v>
      </c>
      <c r="R10" s="7">
        <f>-41395371/1000000</f>
        <v>-41.395370999999997</v>
      </c>
      <c r="S10" s="7">
        <f>14661702/1000000</f>
        <v>14.661702</v>
      </c>
      <c r="T10" s="7">
        <v>35.4</v>
      </c>
      <c r="U10" s="7">
        <v>33.9</v>
      </c>
      <c r="V10" s="7">
        <v>25.6</v>
      </c>
      <c r="W10" s="7">
        <v>78.900000000000006</v>
      </c>
      <c r="X10" s="7">
        <v>42.7</v>
      </c>
      <c r="Y10" s="7">
        <v>54.3</v>
      </c>
      <c r="Z10" s="7"/>
      <c r="AA10" s="1"/>
    </row>
    <row r="11" spans="1:27" x14ac:dyDescent="0.3">
      <c r="A11" s="101"/>
      <c r="B11" s="13">
        <v>13</v>
      </c>
      <c r="C11" s="1" t="s">
        <v>13</v>
      </c>
      <c r="D11" s="3"/>
      <c r="E11" s="3">
        <f>2098860/1000000</f>
        <v>2.0988600000000002</v>
      </c>
      <c r="F11" s="3">
        <f>2652282/1000000</f>
        <v>2.652282</v>
      </c>
      <c r="G11" s="3">
        <f>10193662/1000000</f>
        <v>10.193662</v>
      </c>
      <c r="H11" s="3">
        <f>11765308/1000000</f>
        <v>11.765307999999999</v>
      </c>
      <c r="I11" s="3">
        <f>18151692/1000000</f>
        <v>18.151692000000001</v>
      </c>
      <c r="J11" s="3">
        <f>4008288/1000000</f>
        <v>4.0082880000000003</v>
      </c>
      <c r="K11" s="3">
        <f>5259937/1000000</f>
        <v>5.2599369999999999</v>
      </c>
      <c r="L11" s="3">
        <f>-36635013/1000000</f>
        <v>-36.635013000000001</v>
      </c>
      <c r="M11" s="3">
        <f>20181800/1000000</f>
        <v>20.181799999999999</v>
      </c>
      <c r="N11" s="3">
        <f>-5121176/1000000</f>
        <v>-5.1211760000000002</v>
      </c>
      <c r="O11" s="3">
        <f>16749346/1000000</f>
        <v>16.749345999999999</v>
      </c>
      <c r="P11" s="35">
        <f>11039716/1000000</f>
        <v>11.039716</v>
      </c>
      <c r="Q11" s="22">
        <f>71265/1000000</f>
        <v>7.1264999999999995E-2</v>
      </c>
      <c r="R11" s="3">
        <f>3873144/1000000</f>
        <v>3.8731439999999999</v>
      </c>
      <c r="S11" s="3">
        <f>689789/1000000</f>
        <v>0.68978899999999999</v>
      </c>
      <c r="T11" s="3">
        <v>2.2999999999999998</v>
      </c>
      <c r="U11" s="3">
        <v>-13.9</v>
      </c>
      <c r="V11" s="3">
        <v>2.7</v>
      </c>
      <c r="W11" s="66">
        <v>11.4</v>
      </c>
      <c r="X11" s="66">
        <v>6.1</v>
      </c>
      <c r="Y11" s="66">
        <v>-4.5</v>
      </c>
      <c r="Z11" s="66"/>
      <c r="AA11" s="1"/>
    </row>
    <row r="12" spans="1:27" x14ac:dyDescent="0.3">
      <c r="A12" s="101"/>
      <c r="B12" s="13">
        <v>14</v>
      </c>
      <c r="C12" s="6" t="s">
        <v>105</v>
      </c>
      <c r="D12" s="7"/>
      <c r="E12" s="7">
        <f>109551946/1000000</f>
        <v>109.551946</v>
      </c>
      <c r="F12" s="7">
        <f>153267386/1000000</f>
        <v>153.26738599999999</v>
      </c>
      <c r="G12" s="7">
        <f>-65104595/1000000</f>
        <v>-65.104595000000003</v>
      </c>
      <c r="H12" s="7">
        <f>-19613934/1000000</f>
        <v>-19.613934</v>
      </c>
      <c r="I12" s="7">
        <f>38832200/1000000</f>
        <v>38.8322</v>
      </c>
      <c r="J12" s="7">
        <f>11554013/1000000</f>
        <v>11.554012999999999</v>
      </c>
      <c r="K12" s="7">
        <f>-4868725/1000000</f>
        <v>-4.8687250000000004</v>
      </c>
      <c r="L12" s="7">
        <f>37165128/1000000</f>
        <v>37.165128000000003</v>
      </c>
      <c r="M12" s="7">
        <f>5224883/1000000</f>
        <v>5.2248830000000002</v>
      </c>
      <c r="N12" s="7">
        <f>6077119/1000000</f>
        <v>6.0771189999999997</v>
      </c>
      <c r="O12" s="7">
        <f>41348207/1000000</f>
        <v>41.348207000000002</v>
      </c>
      <c r="P12" s="7">
        <f>62558390/1000000</f>
        <v>62.558390000000003</v>
      </c>
      <c r="Q12" s="7">
        <f>75432049/1000000</f>
        <v>75.432049000000006</v>
      </c>
      <c r="R12" s="7">
        <f>103766447/1000000</f>
        <v>103.766447</v>
      </c>
      <c r="S12" s="7">
        <f>27097579/1000000</f>
        <v>27.097579</v>
      </c>
      <c r="T12" s="7">
        <v>34.6</v>
      </c>
      <c r="U12" s="7">
        <v>48.1</v>
      </c>
      <c r="V12" s="7">
        <v>22.8</v>
      </c>
      <c r="W12" s="7">
        <v>68.400000000000006</v>
      </c>
      <c r="X12" s="7">
        <v>51.6</v>
      </c>
      <c r="Y12" s="7">
        <v>60.1</v>
      </c>
      <c r="Z12" s="7"/>
      <c r="AA12" s="1"/>
    </row>
    <row r="13" spans="1:27" x14ac:dyDescent="0.3">
      <c r="A13" s="101"/>
      <c r="B13" s="13">
        <v>2</v>
      </c>
      <c r="C13" s="1" t="s">
        <v>15</v>
      </c>
      <c r="D13" s="3"/>
      <c r="E13" s="3">
        <v>0</v>
      </c>
      <c r="F13" s="3">
        <v>0</v>
      </c>
      <c r="G13" s="22">
        <f>(627694/1000000)/G5</f>
        <v>3.4679226519337015E-3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42">
        <f>(161850/1000000)/O5</f>
        <v>4.5209497206703911E-4</v>
      </c>
      <c r="P13" s="22">
        <f>(17983903/1000000)/P5</f>
        <v>5.0346872900335952E-2</v>
      </c>
      <c r="Q13" s="35">
        <f>(25296740/1000000)/R5</f>
        <v>7.0093488500969803E-2</v>
      </c>
      <c r="R13" s="35">
        <f>(43310983/1000000)/S5</f>
        <v>0.13753884725309623</v>
      </c>
      <c r="S13" s="41">
        <f>(19920/1000000)/T5</f>
        <v>6.5147005919481964E-5</v>
      </c>
      <c r="T13" s="35">
        <v>0.04</v>
      </c>
      <c r="U13" s="35">
        <v>0.06</v>
      </c>
      <c r="V13" s="22">
        <v>0.03</v>
      </c>
      <c r="W13" s="22">
        <v>0.08</v>
      </c>
      <c r="X13" s="22">
        <v>0.06</v>
      </c>
      <c r="Y13" s="22">
        <v>7.0000000000000007E-2</v>
      </c>
      <c r="Z13" s="22"/>
      <c r="AA13" s="1"/>
    </row>
    <row r="14" spans="1:27" x14ac:dyDescent="0.3">
      <c r="A14" s="102" t="s">
        <v>14</v>
      </c>
      <c r="B14" s="14">
        <v>8</v>
      </c>
      <c r="C14" s="6" t="s">
        <v>16</v>
      </c>
      <c r="D14" s="7"/>
      <c r="E14" s="7">
        <f>145968232/1000000</f>
        <v>145.968232</v>
      </c>
      <c r="F14" s="7">
        <f>22002841/1000000</f>
        <v>22.002841</v>
      </c>
      <c r="G14" s="7">
        <f>124609939/1000000</f>
        <v>124.609939</v>
      </c>
      <c r="H14" s="7">
        <f>137776069/1000000</f>
        <v>137.77606900000001</v>
      </c>
      <c r="I14" s="7">
        <f>51554271/1000000</f>
        <v>51.554271</v>
      </c>
      <c r="J14" s="7">
        <f>209360291/1000000</f>
        <v>209.36029099999999</v>
      </c>
      <c r="K14" s="7">
        <f>125842737/1000000</f>
        <v>125.842737</v>
      </c>
      <c r="L14" s="7">
        <f>83227155/1000000</f>
        <v>83.227154999999996</v>
      </c>
      <c r="M14" s="7">
        <f>105598556/1000000</f>
        <v>105.598556</v>
      </c>
      <c r="N14" s="7">
        <f>82946871/1000000</f>
        <v>82.946871000000002</v>
      </c>
      <c r="O14" s="7">
        <f>66024199/1000000</f>
        <v>66.024198999999996</v>
      </c>
      <c r="P14" s="7">
        <f>189031758/1000000</f>
        <v>189.031758</v>
      </c>
      <c r="Q14" s="7">
        <f>61685720/1000000</f>
        <v>61.685720000000003</v>
      </c>
      <c r="R14" s="7">
        <f>188004715/1000000</f>
        <v>188.004715</v>
      </c>
      <c r="S14" s="7">
        <f>181814513/1000000</f>
        <v>181.81451300000001</v>
      </c>
      <c r="T14" s="7">
        <v>260.89999999999998</v>
      </c>
      <c r="U14" s="7">
        <v>210.3</v>
      </c>
      <c r="V14" s="7">
        <v>202</v>
      </c>
      <c r="W14" s="7">
        <v>229</v>
      </c>
      <c r="X14" s="7">
        <v>255.9</v>
      </c>
      <c r="Y14" s="7">
        <v>233.7</v>
      </c>
      <c r="Z14" s="7">
        <v>222.8</v>
      </c>
      <c r="AA14" s="1"/>
    </row>
    <row r="15" spans="1:27" x14ac:dyDescent="0.3">
      <c r="A15" s="103"/>
      <c r="B15" s="14">
        <v>7</v>
      </c>
      <c r="C15" s="1" t="s">
        <v>17</v>
      </c>
      <c r="D15" s="3"/>
      <c r="E15" s="3">
        <f>(95048115+4979373)/1000000</f>
        <v>100.02748800000001</v>
      </c>
      <c r="F15" s="3">
        <f>(71249919+39093409)/1000000</f>
        <v>110.343328</v>
      </c>
      <c r="G15" s="3">
        <f>(308630851+56762250+143614676)/1000000</f>
        <v>509.00777699999998</v>
      </c>
      <c r="H15" s="3">
        <f>(420458200+56462414)/1000000</f>
        <v>476.920614</v>
      </c>
      <c r="I15" s="3">
        <f>(305138566+3953358+2508344+4070891)/1000000</f>
        <v>315.67115899999999</v>
      </c>
      <c r="J15" s="3">
        <f>(455863338+1886588+54420+3257037)/1000000</f>
        <v>461.06138299999998</v>
      </c>
      <c r="K15" s="3">
        <f>(460600827+1614602+74607+1708922)/1000000</f>
        <v>463.99895800000002</v>
      </c>
      <c r="L15" s="3">
        <f>(373213990+17916038+624457+1926041)/1000000</f>
        <v>393.68052599999999</v>
      </c>
      <c r="M15" s="3">
        <f>(381717412+17171773+5018044+1553506)/1000000</f>
        <v>405.460735</v>
      </c>
      <c r="N15" s="3">
        <f>(299139698+20707936+59256449+3053364)/1000000</f>
        <v>382.15744699999999</v>
      </c>
      <c r="O15" s="3">
        <f>(305038006+19253869+39740412+30942240+19634161+19634161)/1000000</f>
        <v>434.24284899999998</v>
      </c>
      <c r="P15" s="3">
        <f>(320176857+17990531+19951846+118405031+2645498+19802596)/1000000</f>
        <v>498.97235899999998</v>
      </c>
      <c r="Q15" s="3">
        <f>(196238739+17308879+17308879+18170148+3594987)/1000000</f>
        <v>252.62163200000001</v>
      </c>
      <c r="R15" s="3">
        <f>(24810079+67937+998996+70728)/1000000</f>
        <v>25.94774</v>
      </c>
      <c r="S15" s="3">
        <f>(9058985+480274+1980451+285904)/1000000</f>
        <v>11.805614</v>
      </c>
      <c r="T15" s="3">
        <f>(8565175+798762+2169314+520461)/1000000</f>
        <v>12.053712000000001</v>
      </c>
      <c r="U15" s="3">
        <f>(3756781+509530+1241107+519787)/1000000</f>
        <v>6.0272050000000004</v>
      </c>
      <c r="V15" s="3">
        <v>4.0999999999999996</v>
      </c>
      <c r="W15" s="3">
        <v>22.2</v>
      </c>
      <c r="X15" s="3">
        <v>19.399999999999999</v>
      </c>
      <c r="Y15" s="3">
        <v>18.2</v>
      </c>
      <c r="Z15" s="3">
        <v>18.2</v>
      </c>
      <c r="AA15" s="1"/>
    </row>
    <row r="16" spans="1:27" x14ac:dyDescent="0.3">
      <c r="A16" s="103"/>
      <c r="B16" s="14">
        <v>9</v>
      </c>
      <c r="C16" s="6" t="s">
        <v>92</v>
      </c>
      <c r="D16" s="7"/>
      <c r="E16" s="7">
        <f>42567495/1000000</f>
        <v>42.567495000000001</v>
      </c>
      <c r="F16" s="7">
        <f>32821647/1000000</f>
        <v>32.821646999999999</v>
      </c>
      <c r="G16" s="7">
        <f>160195053/1000000</f>
        <v>160.195053</v>
      </c>
      <c r="H16" s="7">
        <f>164420927/1000000</f>
        <v>164.42092700000001</v>
      </c>
      <c r="I16" s="7">
        <f>183919719/1000000</f>
        <v>183.91971899999999</v>
      </c>
      <c r="J16" s="7">
        <f>115163114/1000000</f>
        <v>115.16311399999999</v>
      </c>
      <c r="K16" s="19">
        <f>471382/1000000</f>
        <v>0.47138200000000002</v>
      </c>
      <c r="L16" s="19">
        <f>865131/1000000</f>
        <v>0.86513099999999998</v>
      </c>
      <c r="M16" s="7">
        <v>0</v>
      </c>
      <c r="N16" s="7">
        <v>0</v>
      </c>
      <c r="O16" s="7">
        <f>593790/1000000</f>
        <v>0.59379000000000004</v>
      </c>
      <c r="P16" s="7">
        <f>515654/1000000</f>
        <v>0.51565399999999995</v>
      </c>
      <c r="Q16" s="7">
        <v>0</v>
      </c>
      <c r="R16" s="7">
        <v>0</v>
      </c>
      <c r="S16" s="7">
        <f>632000/1000000</f>
        <v>0.63200000000000001</v>
      </c>
      <c r="T16" s="7">
        <v>-1.7</v>
      </c>
      <c r="U16" s="43">
        <v>-0.2</v>
      </c>
      <c r="V16" s="7">
        <v>1.6</v>
      </c>
      <c r="W16" s="7">
        <v>0.4</v>
      </c>
      <c r="X16" s="7">
        <v>-0.6</v>
      </c>
      <c r="Y16" s="7">
        <v>13.1</v>
      </c>
      <c r="Z16" s="7">
        <v>11.2</v>
      </c>
      <c r="AA16" s="1"/>
    </row>
    <row r="17" spans="1:27" x14ac:dyDescent="0.3">
      <c r="A17" s="103"/>
      <c r="B17" s="14">
        <v>10</v>
      </c>
      <c r="C17" s="1" t="s">
        <v>18</v>
      </c>
      <c r="D17" s="3"/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1"/>
    </row>
    <row r="18" spans="1:27" x14ac:dyDescent="0.3">
      <c r="A18" s="103"/>
      <c r="B18" s="14">
        <v>15</v>
      </c>
      <c r="C18" s="6" t="s">
        <v>19</v>
      </c>
      <c r="D18" s="7"/>
      <c r="E18" s="7">
        <f>146396880/1000000</f>
        <v>146.39688000000001</v>
      </c>
      <c r="F18" s="7">
        <f>178461112/1000000</f>
        <v>178.46111200000001</v>
      </c>
      <c r="G18" s="7">
        <f>1222563071/1000000</f>
        <v>1222.563071</v>
      </c>
      <c r="H18" s="7">
        <f>1208695130/1000000</f>
        <v>1208.6951300000001</v>
      </c>
      <c r="I18" s="7">
        <f>1058596698/1000000</f>
        <v>1058.5966980000001</v>
      </c>
      <c r="J18" s="7">
        <f>1451785930/1000000</f>
        <v>1451.78593</v>
      </c>
      <c r="K18" s="7">
        <f>1720189046/1000000</f>
        <v>1720.189046</v>
      </c>
      <c r="L18" s="7">
        <f>1758611602/1000000</f>
        <v>1758.6116019999999</v>
      </c>
      <c r="M18" s="7">
        <f>1973441436/1000000</f>
        <v>1973.4414360000001</v>
      </c>
      <c r="N18" s="7">
        <f>1920106594/1000000</f>
        <v>1920.1065940000001</v>
      </c>
      <c r="O18" s="7">
        <f>1861869826/1000000</f>
        <v>1861.8698260000001</v>
      </c>
      <c r="P18" s="7">
        <f>2019788170/1000000</f>
        <v>2019.78817</v>
      </c>
      <c r="Q18" s="7">
        <f>1898872117/1000000</f>
        <v>1898.8721169999999</v>
      </c>
      <c r="R18" s="7">
        <f>1227050150/1000000</f>
        <v>1227.05015</v>
      </c>
      <c r="S18" s="7">
        <f>1090426447/1000000</f>
        <v>1090.4264470000001</v>
      </c>
      <c r="T18" s="7">
        <v>65.7</v>
      </c>
      <c r="U18" s="7">
        <v>71.2</v>
      </c>
      <c r="V18" s="7">
        <v>75.400000000000006</v>
      </c>
      <c r="W18" s="7">
        <v>143.1</v>
      </c>
      <c r="X18" s="7">
        <v>129.9</v>
      </c>
      <c r="Y18" s="7">
        <v>146.1</v>
      </c>
      <c r="Z18" s="7">
        <v>107.7</v>
      </c>
      <c r="AA18" s="1"/>
    </row>
    <row r="19" spans="1:27" x14ac:dyDescent="0.3">
      <c r="A19" s="103"/>
      <c r="B19" s="14">
        <v>18</v>
      </c>
      <c r="C19" s="1" t="s">
        <v>21</v>
      </c>
      <c r="D19" s="3"/>
      <c r="E19" s="3">
        <f>34242599/1000000</f>
        <v>34.242598999999998</v>
      </c>
      <c r="F19" s="3">
        <f>81659024/1000000</f>
        <v>81.659024000000002</v>
      </c>
      <c r="G19" s="3">
        <f>492248006/1000000</f>
        <v>492.24800599999998</v>
      </c>
      <c r="H19" s="3">
        <f>332050201/1000000</f>
        <v>332.05020100000002</v>
      </c>
      <c r="I19" s="3">
        <f>291418074/1000000</f>
        <v>291.41807399999999</v>
      </c>
      <c r="J19" s="3">
        <f>284227776/1000000</f>
        <v>284.22777600000001</v>
      </c>
      <c r="K19" s="3">
        <f>324628689/1000000</f>
        <v>324.62868900000001</v>
      </c>
      <c r="L19" s="3">
        <f>400599217/1000000</f>
        <v>400.59921700000001</v>
      </c>
      <c r="M19" s="3">
        <f>473013458/1000000</f>
        <v>473.01345800000001</v>
      </c>
      <c r="N19" s="3">
        <f>539743039/1000000</f>
        <v>539.74303899999995</v>
      </c>
      <c r="O19" s="3">
        <f>485909351/1000000</f>
        <v>485.90935100000002</v>
      </c>
      <c r="P19" s="3">
        <f>561182144/1000000</f>
        <v>561.18214399999999</v>
      </c>
      <c r="Q19" s="3">
        <f>519586741/1000000</f>
        <v>519.58674099999996</v>
      </c>
      <c r="R19" s="3">
        <f>60984790/1000000</f>
        <v>60.984789999999997</v>
      </c>
      <c r="S19" s="3">
        <f>58766170/1000000</f>
        <v>58.766170000000002</v>
      </c>
      <c r="T19" s="3">
        <f>53366066/1000000</f>
        <v>53.366065999999996</v>
      </c>
      <c r="U19" s="3">
        <f>51598969/1000000</f>
        <v>51.598968999999997</v>
      </c>
      <c r="V19" s="3">
        <f>55228454/1000000</f>
        <v>55.228453999999999</v>
      </c>
      <c r="W19" s="3">
        <v>84.6</v>
      </c>
      <c r="X19" s="3">
        <v>58.8</v>
      </c>
      <c r="Y19" s="3">
        <v>61.4</v>
      </c>
      <c r="Z19" s="3">
        <v>51</v>
      </c>
      <c r="AA19" s="1"/>
    </row>
    <row r="20" spans="1:27" x14ac:dyDescent="0.3">
      <c r="A20" s="103"/>
      <c r="B20" s="14">
        <v>17</v>
      </c>
      <c r="C20" s="6" t="s">
        <v>22</v>
      </c>
      <c r="D20" s="7"/>
      <c r="E20" s="7">
        <f>(7200355+20958563+29544498+786058+61080716)/1000000</f>
        <v>119.57019</v>
      </c>
      <c r="F20" s="7">
        <f>(5526214+33007631+8961546+2070185+76140977)/1000000</f>
        <v>125.706553</v>
      </c>
      <c r="G20" s="7">
        <f>381568157/1000000</f>
        <v>381.56815699999999</v>
      </c>
      <c r="H20" s="7">
        <f>380936838/1000000</f>
        <v>380.93683800000002</v>
      </c>
      <c r="I20" s="7">
        <f>281264324/1000000</f>
        <v>281.26432399999999</v>
      </c>
      <c r="J20" s="7">
        <f>441621436/1000000</f>
        <v>441.62143600000002</v>
      </c>
      <c r="K20" s="7">
        <f>376634674/1000000</f>
        <v>376.63467400000002</v>
      </c>
      <c r="L20" s="7">
        <f>404718824/1000000</f>
        <v>404.71882399999998</v>
      </c>
      <c r="M20" s="7">
        <f>462781614/1000000</f>
        <v>462.78161399999999</v>
      </c>
      <c r="N20" s="7">
        <f>413729990/1000000</f>
        <v>413.72998999999999</v>
      </c>
      <c r="O20" s="7">
        <f>360487681/1000000</f>
        <v>360.48768100000001</v>
      </c>
      <c r="P20" s="7">
        <f>439510455/1000000</f>
        <v>439.51045499999998</v>
      </c>
      <c r="Q20" s="7">
        <f>315678713/1000000</f>
        <v>315.67871300000002</v>
      </c>
      <c r="R20" s="7">
        <f>459766323/1000000</f>
        <v>459.766323</v>
      </c>
      <c r="S20" s="7">
        <f>302938467/1000000</f>
        <v>302.938467</v>
      </c>
      <c r="T20" s="7">
        <f>319038548/1000000</f>
        <v>319.03854799999999</v>
      </c>
      <c r="U20" s="7">
        <f>291654393/1000000</f>
        <v>291.65439300000003</v>
      </c>
      <c r="V20" s="7">
        <v>265.7</v>
      </c>
      <c r="W20" s="7">
        <v>309.10000000000002</v>
      </c>
      <c r="X20" s="7">
        <v>305.60000000000002</v>
      </c>
      <c r="Y20" s="7">
        <v>280.7</v>
      </c>
      <c r="Z20" s="7">
        <v>264.89999999999998</v>
      </c>
      <c r="AA20" s="1"/>
    </row>
    <row r="21" spans="1:27" x14ac:dyDescent="0.3">
      <c r="A21" s="103"/>
      <c r="B21" s="14">
        <v>19</v>
      </c>
      <c r="C21" s="1" t="s">
        <v>88</v>
      </c>
      <c r="D21" s="3"/>
      <c r="E21" s="3">
        <f>7200355/1000000</f>
        <v>7.2003550000000001</v>
      </c>
      <c r="F21" s="3">
        <f>5526214/10000000</f>
        <v>0.55262140000000004</v>
      </c>
      <c r="G21" s="3">
        <f>16365292/1000000</f>
        <v>16.365292</v>
      </c>
      <c r="H21" s="3">
        <f>8278703/1000000</f>
        <v>8.2787030000000001</v>
      </c>
      <c r="I21" s="3">
        <f>12827545/1000000</f>
        <v>12.827545000000001</v>
      </c>
      <c r="J21" s="3">
        <f>23212665/1000000</f>
        <v>23.212665000000001</v>
      </c>
      <c r="K21" s="3">
        <f>15138395/1000000</f>
        <v>15.138394999999999</v>
      </c>
      <c r="L21" s="3">
        <f>24036540/1000000</f>
        <v>24.036539999999999</v>
      </c>
      <c r="M21" s="3">
        <f>29613696/1000000</f>
        <v>29.613696000000001</v>
      </c>
      <c r="N21" s="3">
        <f>14034768/1000000</f>
        <v>14.034768</v>
      </c>
      <c r="O21" s="3">
        <f>17473750/1000000</f>
        <v>17.473749999999999</v>
      </c>
      <c r="P21" s="3">
        <f>7365390/1000000</f>
        <v>7.3653899999999997</v>
      </c>
      <c r="Q21" s="3">
        <f>13802149/1000000</f>
        <v>13.802149</v>
      </c>
      <c r="R21" s="3">
        <f>553525/1000000</f>
        <v>0.55352500000000004</v>
      </c>
      <c r="S21" s="3">
        <f>1077458/1000000</f>
        <v>1.077458</v>
      </c>
      <c r="T21" s="35">
        <v>1.2</v>
      </c>
      <c r="U21" s="35">
        <v>0.6</v>
      </c>
      <c r="V21" s="35">
        <v>0.6</v>
      </c>
      <c r="W21" s="35">
        <v>0.4</v>
      </c>
      <c r="X21" s="35">
        <v>0.2</v>
      </c>
      <c r="Y21" s="35">
        <v>0.3</v>
      </c>
      <c r="Z21" s="35">
        <v>0.1</v>
      </c>
      <c r="AA21" s="1"/>
    </row>
    <row r="22" spans="1:27" x14ac:dyDescent="0.3">
      <c r="A22" s="103"/>
      <c r="B22" s="14">
        <v>20</v>
      </c>
      <c r="C22" s="6" t="s">
        <v>87</v>
      </c>
      <c r="D22" s="7"/>
      <c r="E22" s="7">
        <f>15769266/1000000</f>
        <v>15.769266</v>
      </c>
      <c r="F22" s="7">
        <f>(27331058+42496)/1000000</f>
        <v>27.373553999999999</v>
      </c>
      <c r="G22" s="7">
        <f>173096921/1000000</f>
        <v>173.09692100000001</v>
      </c>
      <c r="H22" s="7">
        <f>145002551/1000000</f>
        <v>145.00255100000001</v>
      </c>
      <c r="I22" s="7">
        <f>152682416/1000000</f>
        <v>152.68241599999999</v>
      </c>
      <c r="J22" s="7">
        <f>143573014/1000000</f>
        <v>143.573014</v>
      </c>
      <c r="K22" s="7">
        <f>151981914/1000000</f>
        <v>151.98191399999999</v>
      </c>
      <c r="L22" s="7">
        <f>192029940/1000000</f>
        <v>192.02994000000001</v>
      </c>
      <c r="M22" s="7">
        <f>173693076/1000000</f>
        <v>173.69307599999999</v>
      </c>
      <c r="N22" s="7">
        <f>158921462/1000000</f>
        <v>158.92146199999999</v>
      </c>
      <c r="O22" s="7">
        <f>143294200/1000000</f>
        <v>143.29419999999999</v>
      </c>
      <c r="P22" s="7">
        <f>146137974/1000000</f>
        <v>146.13797400000001</v>
      </c>
      <c r="Q22" s="7">
        <f>144901658/1000000</f>
        <v>144.901658</v>
      </c>
      <c r="R22" s="7">
        <f>36416353/1000000</f>
        <v>36.416353000000001</v>
      </c>
      <c r="S22" s="7">
        <f>40000771/1000000</f>
        <v>40.000771</v>
      </c>
      <c r="T22" s="7">
        <v>47</v>
      </c>
      <c r="U22" s="7">
        <v>70.8</v>
      </c>
      <c r="V22" s="7">
        <v>53.5</v>
      </c>
      <c r="W22" s="7">
        <v>51</v>
      </c>
      <c r="X22" s="7">
        <v>27.2</v>
      </c>
      <c r="Y22" s="7">
        <v>22.6</v>
      </c>
      <c r="Z22" s="7">
        <v>28.6</v>
      </c>
      <c r="AA22" s="1"/>
    </row>
    <row r="23" spans="1:27" x14ac:dyDescent="0.3">
      <c r="A23" s="103"/>
      <c r="B23" s="14">
        <v>16</v>
      </c>
      <c r="C23" s="1" t="s">
        <v>20</v>
      </c>
      <c r="D23" s="3"/>
      <c r="E23" s="3">
        <f>32821647/1000000</f>
        <v>32.821646999999999</v>
      </c>
      <c r="F23" s="3">
        <f>42567495/1000000</f>
        <v>42.567495000000001</v>
      </c>
      <c r="G23" s="3">
        <f>257049199/1000000</f>
        <v>257.04919899999999</v>
      </c>
      <c r="H23" s="3">
        <f>238612929/1000000</f>
        <v>238.61292900000001</v>
      </c>
      <c r="I23" s="3">
        <f>440574462/1000000</f>
        <v>440.57446199999998</v>
      </c>
      <c r="J23" s="3">
        <f>686939398/1000000</f>
        <v>686.93939799999998</v>
      </c>
      <c r="K23" s="3">
        <f>909481308/1000000</f>
        <v>909.48130800000001</v>
      </c>
      <c r="L23" s="3">
        <f>935421430/1000000</f>
        <v>935.42142999999999</v>
      </c>
      <c r="M23" s="3">
        <f>928953992/1000000</f>
        <v>928.95399199999997</v>
      </c>
      <c r="N23" s="3">
        <f>935640588/1000000</f>
        <v>935.64058799999998</v>
      </c>
      <c r="O23" s="3">
        <f>975251994/1000000</f>
        <v>975.25199399999997</v>
      </c>
      <c r="P23" s="3">
        <f>1021396891/1000000</f>
        <v>1021.396891</v>
      </c>
      <c r="Q23" s="3">
        <f>1083243001/1000000</f>
        <v>1083.243001</v>
      </c>
      <c r="R23" s="3">
        <f>1136759532/1000000</f>
        <v>1136.759532</v>
      </c>
      <c r="S23" s="3">
        <f>1018466488/1000000</f>
        <v>1018.466488</v>
      </c>
      <c r="T23" s="3">
        <v>1026.9000000000001</v>
      </c>
      <c r="U23" s="3">
        <f>1033130174/1000000</f>
        <v>1033.1301739999999</v>
      </c>
      <c r="V23" s="3">
        <v>1030.3</v>
      </c>
      <c r="W23" s="3">
        <v>1063.3</v>
      </c>
      <c r="X23" s="3">
        <v>1073.0999999999999</v>
      </c>
      <c r="Y23" s="3">
        <v>1101.4000000000001</v>
      </c>
      <c r="Z23" s="3">
        <v>1141.4000000000001</v>
      </c>
      <c r="AA23" s="1"/>
    </row>
    <row r="25" spans="1:27" x14ac:dyDescent="0.3">
      <c r="A25" s="9" t="s">
        <v>71</v>
      </c>
      <c r="B25" s="8"/>
      <c r="C25" s="9" t="s">
        <v>26</v>
      </c>
      <c r="D25" s="8">
        <v>99</v>
      </c>
      <c r="E25" s="8">
        <v>2000</v>
      </c>
      <c r="F25" s="8">
        <v>1</v>
      </c>
      <c r="G25" s="8">
        <v>2</v>
      </c>
      <c r="H25" s="8">
        <v>3</v>
      </c>
      <c r="I25" s="8">
        <v>4</v>
      </c>
      <c r="J25" s="8">
        <v>5</v>
      </c>
      <c r="K25" s="8">
        <v>6</v>
      </c>
      <c r="L25" s="8">
        <v>7</v>
      </c>
      <c r="M25" s="8">
        <v>8</v>
      </c>
      <c r="N25" s="8">
        <v>9</v>
      </c>
      <c r="O25" s="8">
        <v>10</v>
      </c>
      <c r="P25" s="8">
        <v>11</v>
      </c>
      <c r="Q25" s="8">
        <v>12</v>
      </c>
      <c r="R25" s="8">
        <v>13</v>
      </c>
      <c r="S25" s="8">
        <v>14</v>
      </c>
      <c r="T25" s="8">
        <v>15</v>
      </c>
      <c r="U25" s="8">
        <v>16</v>
      </c>
      <c r="V25" s="8">
        <v>17</v>
      </c>
      <c r="W25" s="8">
        <v>18</v>
      </c>
      <c r="X25" s="8">
        <v>19</v>
      </c>
      <c r="Y25" s="8">
        <v>20</v>
      </c>
      <c r="Z25" s="8" t="s">
        <v>3</v>
      </c>
      <c r="AA25" s="8" t="s">
        <v>94</v>
      </c>
    </row>
    <row r="26" spans="1:27" x14ac:dyDescent="0.3">
      <c r="A26" s="6" t="s">
        <v>65</v>
      </c>
      <c r="B26" s="17" t="s">
        <v>27</v>
      </c>
      <c r="C26" s="6" t="s">
        <v>85</v>
      </c>
      <c r="D26" s="7">
        <f t="shared" ref="D26:U26" si="1">D4*D5</f>
        <v>0</v>
      </c>
      <c r="E26" s="7">
        <f t="shared" si="1"/>
        <v>1409.99</v>
      </c>
      <c r="F26" s="7">
        <f t="shared" si="1"/>
        <v>555.66999999999996</v>
      </c>
      <c r="G26" s="7">
        <f t="shared" si="1"/>
        <v>284.17</v>
      </c>
      <c r="H26" s="7">
        <f t="shared" si="1"/>
        <v>536.21249999999998</v>
      </c>
      <c r="I26" s="7">
        <f t="shared" si="1"/>
        <v>859.75</v>
      </c>
      <c r="J26" s="7">
        <f t="shared" si="1"/>
        <v>828.07500000000005</v>
      </c>
      <c r="K26" s="7">
        <f t="shared" si="1"/>
        <v>1488.5805999999998</v>
      </c>
      <c r="L26" s="7">
        <f t="shared" si="1"/>
        <v>1208.625</v>
      </c>
      <c r="M26" s="7">
        <f t="shared" si="1"/>
        <v>364.35</v>
      </c>
      <c r="N26" s="7">
        <f t="shared" si="1"/>
        <v>699.38400000000001</v>
      </c>
      <c r="O26" s="7">
        <f t="shared" si="1"/>
        <v>483.3</v>
      </c>
      <c r="P26" s="7">
        <f t="shared" si="1"/>
        <v>433.99799999999999</v>
      </c>
      <c r="Q26" s="7">
        <f t="shared" si="1"/>
        <v>532.27139999999997</v>
      </c>
      <c r="R26" s="7">
        <f t="shared" si="1"/>
        <v>927.1520999999999</v>
      </c>
      <c r="S26" s="7">
        <f t="shared" si="1"/>
        <v>456.60499999999996</v>
      </c>
      <c r="T26" s="7">
        <f t="shared" si="1"/>
        <v>632.94389999999987</v>
      </c>
      <c r="U26" s="7">
        <f t="shared" si="1"/>
        <v>780.01927000000001</v>
      </c>
      <c r="V26" s="7">
        <f t="shared" ref="V26:AA26" si="2">V4*V5</f>
        <v>770.54039999999998</v>
      </c>
      <c r="W26" s="7">
        <f t="shared" si="2"/>
        <v>755.32600000000014</v>
      </c>
      <c r="X26" s="7">
        <f t="shared" si="2"/>
        <v>607.01300000000003</v>
      </c>
      <c r="Y26" s="7">
        <f t="shared" si="2"/>
        <v>428.12</v>
      </c>
      <c r="Z26" s="7">
        <f t="shared" si="2"/>
        <v>515.27300000000002</v>
      </c>
      <c r="AA26" s="7">
        <f t="shared" si="2"/>
        <v>501.512</v>
      </c>
    </row>
    <row r="27" spans="1:27" x14ac:dyDescent="0.3">
      <c r="A27" s="1" t="s">
        <v>66</v>
      </c>
      <c r="B27" s="2" t="s">
        <v>28</v>
      </c>
      <c r="C27" s="1" t="s">
        <v>47</v>
      </c>
      <c r="D27" s="30" t="e">
        <f t="shared" ref="D27:U27" si="3">D26/D6</f>
        <v>#DIV/0!</v>
      </c>
      <c r="E27" s="30">
        <f t="shared" si="3"/>
        <v>12.870515326126657</v>
      </c>
      <c r="F27" s="30">
        <f t="shared" si="3"/>
        <v>3.6254940760847845</v>
      </c>
      <c r="G27" s="30">
        <f t="shared" si="3"/>
        <v>0.36018923693795446</v>
      </c>
      <c r="H27" s="30">
        <f t="shared" si="3"/>
        <v>0.64006851729581427</v>
      </c>
      <c r="I27" s="30">
        <f t="shared" si="3"/>
        <v>7.9569660621029099</v>
      </c>
      <c r="J27" s="30">
        <f t="shared" si="3"/>
        <v>0.95392013217684157</v>
      </c>
      <c r="K27" s="30">
        <f t="shared" si="3"/>
        <v>1.6556067023636478</v>
      </c>
      <c r="L27" s="30">
        <f t="shared" si="3"/>
        <v>15.288888360407531</v>
      </c>
      <c r="M27" s="30">
        <f t="shared" si="3"/>
        <v>1</v>
      </c>
      <c r="N27" s="30">
        <f t="shared" si="3"/>
        <v>0.73124290419250948</v>
      </c>
      <c r="O27" s="30">
        <f t="shared" si="3"/>
        <v>0.52026819115846523</v>
      </c>
      <c r="P27" s="30">
        <f t="shared" si="3"/>
        <v>0.4974510103058799</v>
      </c>
      <c r="Q27" s="30">
        <f t="shared" si="3"/>
        <v>4.9904555573475777</v>
      </c>
      <c r="R27" s="30">
        <f t="shared" si="3"/>
        <v>7.6974102297740021</v>
      </c>
      <c r="S27" s="30">
        <f t="shared" si="3"/>
        <v>3.6681505670146732</v>
      </c>
      <c r="T27" s="30">
        <f t="shared" si="3"/>
        <v>4.7992034708853364</v>
      </c>
      <c r="U27" s="30">
        <f t="shared" si="3"/>
        <v>5.9072335362387625</v>
      </c>
      <c r="V27" s="30">
        <f t="shared" ref="V27:Y27" si="4">V26/V6</f>
        <v>5.4179106143088571</v>
      </c>
      <c r="W27" s="30">
        <f t="shared" si="4"/>
        <v>6.7986138613861398</v>
      </c>
      <c r="X27" s="30">
        <f t="shared" si="4"/>
        <v>4.5030637982195847</v>
      </c>
      <c r="Y27" s="30">
        <f t="shared" si="4"/>
        <v>3.2359788359788357</v>
      </c>
      <c r="Z27" s="30"/>
      <c r="AA27" s="1"/>
    </row>
    <row r="28" spans="1:27" x14ac:dyDescent="0.3">
      <c r="A28" s="6" t="s">
        <v>67</v>
      </c>
      <c r="B28" s="17" t="s">
        <v>29</v>
      </c>
      <c r="C28" s="6" t="s">
        <v>48</v>
      </c>
      <c r="D28" s="29" t="e">
        <f t="shared" ref="D28:U28" si="5">D26/D7</f>
        <v>#DIV/0!</v>
      </c>
      <c r="E28" s="29">
        <f t="shared" si="5"/>
        <v>42.183537084752864</v>
      </c>
      <c r="F28" s="29">
        <f t="shared" si="5"/>
        <v>11.53964566162632</v>
      </c>
      <c r="G28" s="29">
        <f t="shared" si="5"/>
        <v>3.971881588645291</v>
      </c>
      <c r="H28" s="29">
        <f t="shared" si="5"/>
        <v>3.6843833712854224</v>
      </c>
      <c r="I28" s="29">
        <f t="shared" si="5"/>
        <v>4.2856033118564163</v>
      </c>
      <c r="J28" s="29">
        <f t="shared" si="5"/>
        <v>5.2785360594817252</v>
      </c>
      <c r="K28" s="29">
        <f t="shared" si="5"/>
        <v>-2.177122098591231</v>
      </c>
      <c r="L28" s="29">
        <f t="shared" si="5"/>
        <v>-1.6396565139614665</v>
      </c>
      <c r="M28" s="29">
        <f t="shared" si="5"/>
        <v>-0.44092680658213945</v>
      </c>
      <c r="N28" s="29">
        <f t="shared" si="5"/>
        <v>-0.8957698359966727</v>
      </c>
      <c r="O28" s="29">
        <f t="shared" si="5"/>
        <v>-0.65761147413889054</v>
      </c>
      <c r="P28" s="29">
        <f t="shared" si="5"/>
        <v>-0.65811321770989017</v>
      </c>
      <c r="Q28" s="29">
        <f t="shared" si="5"/>
        <v>108.88903891002828</v>
      </c>
      <c r="R28" s="29">
        <f t="shared" si="5"/>
        <v>99.519251669303898</v>
      </c>
      <c r="S28" s="29">
        <f t="shared" si="5"/>
        <v>-3.9027524736521362</v>
      </c>
      <c r="T28" s="29">
        <f t="shared" si="5"/>
        <v>575.40354545454534</v>
      </c>
      <c r="U28" s="29">
        <f t="shared" si="5"/>
        <v>-185.71887380952381</v>
      </c>
      <c r="V28" s="29">
        <f t="shared" ref="V28:Y28" si="6">V26/V7</f>
        <v>2568.4679999999998</v>
      </c>
      <c r="W28" s="29">
        <f t="shared" si="6"/>
        <v>-164.20130434782612</v>
      </c>
      <c r="X28" s="29">
        <f t="shared" si="6"/>
        <v>-61.314444444444447</v>
      </c>
      <c r="Y28" s="29">
        <f t="shared" si="6"/>
        <v>-109.77435897435898</v>
      </c>
      <c r="Z28" s="29"/>
      <c r="AA28" s="1"/>
    </row>
    <row r="29" spans="1:27" x14ac:dyDescent="0.3">
      <c r="A29" s="15" t="s">
        <v>68</v>
      </c>
      <c r="B29" s="2" t="s">
        <v>30</v>
      </c>
      <c r="C29" s="1" t="s">
        <v>49</v>
      </c>
      <c r="D29" s="3">
        <f t="shared" ref="D29:U29" si="7">D15-D14</f>
        <v>0</v>
      </c>
      <c r="E29" s="3">
        <f t="shared" si="7"/>
        <v>-45.940743999999995</v>
      </c>
      <c r="F29" s="3">
        <f t="shared" si="7"/>
        <v>88.340486999999996</v>
      </c>
      <c r="G29" s="3">
        <f t="shared" si="7"/>
        <v>384.39783799999998</v>
      </c>
      <c r="H29" s="3">
        <f t="shared" si="7"/>
        <v>339.14454499999999</v>
      </c>
      <c r="I29" s="3">
        <f t="shared" si="7"/>
        <v>264.11688800000002</v>
      </c>
      <c r="J29" s="3">
        <f t="shared" si="7"/>
        <v>251.70109199999999</v>
      </c>
      <c r="K29" s="3">
        <f t="shared" si="7"/>
        <v>338.15622100000002</v>
      </c>
      <c r="L29" s="3">
        <f t="shared" si="7"/>
        <v>310.453371</v>
      </c>
      <c r="M29" s="3">
        <f t="shared" si="7"/>
        <v>299.86217899999997</v>
      </c>
      <c r="N29" s="3">
        <f t="shared" si="7"/>
        <v>299.210576</v>
      </c>
      <c r="O29" s="3">
        <f t="shared" si="7"/>
        <v>368.21864999999997</v>
      </c>
      <c r="P29" s="3">
        <f t="shared" si="7"/>
        <v>309.94060100000002</v>
      </c>
      <c r="Q29" s="3">
        <f t="shared" si="7"/>
        <v>190.935912</v>
      </c>
      <c r="R29" s="3">
        <f t="shared" si="7"/>
        <v>-162.05697499999999</v>
      </c>
      <c r="S29" s="3">
        <f t="shared" si="7"/>
        <v>-170.00889900000001</v>
      </c>
      <c r="T29" s="3">
        <f t="shared" si="7"/>
        <v>-248.84628799999999</v>
      </c>
      <c r="U29" s="3">
        <f t="shared" si="7"/>
        <v>-204.272795</v>
      </c>
      <c r="V29" s="3">
        <f t="shared" ref="V29:Y29" si="8">V15-V14</f>
        <v>-197.9</v>
      </c>
      <c r="W29" s="3">
        <f t="shared" si="8"/>
        <v>-206.8</v>
      </c>
      <c r="X29" s="3">
        <f t="shared" si="8"/>
        <v>-236.5</v>
      </c>
      <c r="Y29" s="3">
        <f t="shared" si="8"/>
        <v>-215.5</v>
      </c>
      <c r="Z29" s="3">
        <f t="shared" ref="Z29" si="9">Z15-Z14</f>
        <v>-204.60000000000002</v>
      </c>
      <c r="AA29" s="1"/>
    </row>
    <row r="30" spans="1:27" x14ac:dyDescent="0.3">
      <c r="A30" s="6" t="s">
        <v>69</v>
      </c>
      <c r="B30" s="17" t="s">
        <v>31</v>
      </c>
      <c r="C30" s="6" t="s">
        <v>50</v>
      </c>
      <c r="D30" s="7">
        <f t="shared" ref="D30:U30" si="10">D26+D29+D16+D17</f>
        <v>0</v>
      </c>
      <c r="E30" s="7">
        <f t="shared" si="10"/>
        <v>1406.616751</v>
      </c>
      <c r="F30" s="7">
        <f t="shared" si="10"/>
        <v>676.832134</v>
      </c>
      <c r="G30" s="7">
        <f t="shared" si="10"/>
        <v>828.76289099999997</v>
      </c>
      <c r="H30" s="7">
        <f t="shared" si="10"/>
        <v>1039.7779719999999</v>
      </c>
      <c r="I30" s="7">
        <f t="shared" si="10"/>
        <v>1307.786607</v>
      </c>
      <c r="J30" s="7">
        <f t="shared" si="10"/>
        <v>1194.939206</v>
      </c>
      <c r="K30" s="7">
        <f t="shared" si="10"/>
        <v>1827.2082029999997</v>
      </c>
      <c r="L30" s="7">
        <f t="shared" si="10"/>
        <v>1519.9435020000001</v>
      </c>
      <c r="M30" s="7">
        <f t="shared" si="10"/>
        <v>664.21217899999999</v>
      </c>
      <c r="N30" s="7">
        <f t="shared" si="10"/>
        <v>998.59457599999996</v>
      </c>
      <c r="O30" s="7">
        <f t="shared" si="10"/>
        <v>852.11243999999999</v>
      </c>
      <c r="P30" s="7">
        <f t="shared" si="10"/>
        <v>744.4542550000001</v>
      </c>
      <c r="Q30" s="7">
        <f t="shared" si="10"/>
        <v>723.207312</v>
      </c>
      <c r="R30" s="7">
        <f t="shared" si="10"/>
        <v>765.09512499999994</v>
      </c>
      <c r="S30" s="7">
        <f t="shared" si="10"/>
        <v>287.22810099999998</v>
      </c>
      <c r="T30" s="7">
        <f t="shared" si="10"/>
        <v>382.39761199999992</v>
      </c>
      <c r="U30" s="7">
        <f t="shared" si="10"/>
        <v>575.54647499999999</v>
      </c>
      <c r="V30" s="7">
        <f t="shared" ref="V30:Y30" si="11">V26+V29+V16+V17</f>
        <v>574.24040000000002</v>
      </c>
      <c r="W30" s="7">
        <f t="shared" si="11"/>
        <v>548.92600000000004</v>
      </c>
      <c r="X30" s="7">
        <f t="shared" si="11"/>
        <v>369.91300000000001</v>
      </c>
      <c r="Y30" s="7">
        <f t="shared" si="11"/>
        <v>225.72</v>
      </c>
      <c r="Z30" s="7">
        <f t="shared" ref="Z30" si="12">Z26+Z29+Z16+Z17</f>
        <v>321.87299999999999</v>
      </c>
      <c r="AA30" s="1"/>
    </row>
    <row r="31" spans="1:27" x14ac:dyDescent="0.3">
      <c r="A31" s="1" t="s">
        <v>70</v>
      </c>
      <c r="B31" s="2" t="s">
        <v>32</v>
      </c>
      <c r="C31" s="1" t="s">
        <v>51</v>
      </c>
      <c r="D31" s="30" t="e">
        <f t="shared" ref="D31:U31" si="13">D30/D7</f>
        <v>#DIV/0!</v>
      </c>
      <c r="E31" s="30">
        <f t="shared" si="13"/>
        <v>42.082617521998792</v>
      </c>
      <c r="F31" s="30">
        <f t="shared" si="13"/>
        <v>14.055829896813549</v>
      </c>
      <c r="G31" s="30">
        <f t="shared" si="13"/>
        <v>11.583728289810127</v>
      </c>
      <c r="H31" s="30">
        <f t="shared" si="13"/>
        <v>7.1444449166434563</v>
      </c>
      <c r="I31" s="30">
        <f t="shared" si="13"/>
        <v>6.5189352883520399</v>
      </c>
      <c r="J31" s="30">
        <f t="shared" si="13"/>
        <v>7.6170995233033976</v>
      </c>
      <c r="K31" s="30">
        <f t="shared" si="13"/>
        <v>-2.6723815677017901</v>
      </c>
      <c r="L31" s="30">
        <f t="shared" si="13"/>
        <v>-2.0620004252002921</v>
      </c>
      <c r="M31" s="30">
        <f t="shared" si="13"/>
        <v>-0.80381214485915842</v>
      </c>
      <c r="N31" s="30">
        <f t="shared" si="13"/>
        <v>-1.2789982321166724</v>
      </c>
      <c r="O31" s="30">
        <f t="shared" si="13"/>
        <v>-1.1594432398106496</v>
      </c>
      <c r="P31" s="30">
        <f t="shared" si="13"/>
        <v>-1.1288881174472443</v>
      </c>
      <c r="Q31" s="30">
        <f t="shared" si="13"/>
        <v>147.9496158095005</v>
      </c>
      <c r="R31" s="30">
        <f t="shared" si="13"/>
        <v>82.124275289709772</v>
      </c>
      <c r="S31" s="30">
        <f t="shared" si="13"/>
        <v>-2.4550326467738102</v>
      </c>
      <c r="T31" s="30">
        <f t="shared" si="13"/>
        <v>347.63419272727265</v>
      </c>
      <c r="U31" s="30">
        <f t="shared" si="13"/>
        <v>-137.034875</v>
      </c>
      <c r="V31" s="30">
        <f t="shared" ref="V31:Y31" si="14">V30/V7</f>
        <v>1914.1346666666668</v>
      </c>
      <c r="W31" s="30">
        <f t="shared" si="14"/>
        <v>-119.3317391304348</v>
      </c>
      <c r="X31" s="30">
        <f t="shared" si="14"/>
        <v>-37.364949494949492</v>
      </c>
      <c r="Y31" s="30">
        <f t="shared" si="14"/>
        <v>-57.876923076923077</v>
      </c>
      <c r="Z31" s="30"/>
      <c r="AA31" s="1"/>
    </row>
    <row r="32" spans="1:27" x14ac:dyDescent="0.3">
      <c r="A32" s="18" t="s">
        <v>72</v>
      </c>
      <c r="B32" s="17" t="s">
        <v>33</v>
      </c>
      <c r="C32" s="6" t="s">
        <v>109</v>
      </c>
      <c r="D32" s="27" t="e">
        <f t="shared" ref="D32:U32" si="15">D7/D6</f>
        <v>#DIV/0!</v>
      </c>
      <c r="E32" s="27">
        <f t="shared" si="15"/>
        <v>0.30510754231604431</v>
      </c>
      <c r="F32" s="27">
        <f t="shared" si="15"/>
        <v>0.31417724446608625</v>
      </c>
      <c r="G32" s="27">
        <f t="shared" si="15"/>
        <v>9.0684787272524395E-2</v>
      </c>
      <c r="H32" s="27">
        <f t="shared" si="15"/>
        <v>0.17372473295918298</v>
      </c>
      <c r="I32" s="27">
        <f t="shared" si="15"/>
        <v>1.8566734910087024</v>
      </c>
      <c r="J32" s="27">
        <f t="shared" si="15"/>
        <v>0.18071679750360606</v>
      </c>
      <c r="K32" s="27">
        <f t="shared" si="15"/>
        <v>-0.76045652351558768</v>
      </c>
      <c r="L32" s="27">
        <f t="shared" si="15"/>
        <v>-9.3244458398601129</v>
      </c>
      <c r="M32" s="27">
        <f t="shared" si="15"/>
        <v>-2.2679501111568543</v>
      </c>
      <c r="N32" s="27">
        <f t="shared" si="15"/>
        <v>-0.8163290108768807</v>
      </c>
      <c r="O32" s="27">
        <f t="shared" si="15"/>
        <v>-0.79114828682046723</v>
      </c>
      <c r="P32" s="27">
        <f t="shared" si="15"/>
        <v>-0.75587451660204541</v>
      </c>
      <c r="Q32" s="27">
        <f t="shared" si="15"/>
        <v>4.5830651159213927E-2</v>
      </c>
      <c r="R32" s="27">
        <f t="shared" si="15"/>
        <v>7.7345941620943895E-2</v>
      </c>
      <c r="S32" s="27">
        <f t="shared" si="15"/>
        <v>-0.9398880896953411</v>
      </c>
      <c r="T32" s="27">
        <f t="shared" si="15"/>
        <v>8.3405872431567343E-3</v>
      </c>
      <c r="U32" s="27">
        <f t="shared" si="15"/>
        <v>-3.1807394773981423E-2</v>
      </c>
      <c r="V32" s="27">
        <f t="shared" ref="V32:Y32" si="16">V7/V6</f>
        <v>2.109393854355537E-3</v>
      </c>
      <c r="W32" s="27">
        <f t="shared" si="16"/>
        <v>-4.1404140414041404E-2</v>
      </c>
      <c r="X32" s="27">
        <f t="shared" si="16"/>
        <v>-7.3442136498516317E-2</v>
      </c>
      <c r="Y32" s="27">
        <f t="shared" si="16"/>
        <v>-2.9478458049886618E-2</v>
      </c>
      <c r="Z32" s="27"/>
      <c r="AA32" s="1"/>
    </row>
    <row r="33" spans="1:27" x14ac:dyDescent="0.3">
      <c r="A33" s="16" t="s">
        <v>73</v>
      </c>
      <c r="B33" s="2" t="s">
        <v>34</v>
      </c>
      <c r="C33" s="1" t="s">
        <v>110</v>
      </c>
      <c r="D33" s="28" t="e">
        <f t="shared" ref="D33:U33" si="17">D8/D6</f>
        <v>#DIV/0!</v>
      </c>
      <c r="E33" s="28">
        <f t="shared" si="17"/>
        <v>0.11696460417051835</v>
      </c>
      <c r="F33" s="28">
        <f t="shared" si="17"/>
        <v>0.13842036817930725</v>
      </c>
      <c r="G33" s="28">
        <f t="shared" si="17"/>
        <v>-7.3221884739076593E-2</v>
      </c>
      <c r="H33" s="28">
        <f t="shared" si="17"/>
        <v>1.9270355755110307E-2</v>
      </c>
      <c r="I33" s="28">
        <f t="shared" si="17"/>
        <v>0.69797140262232549</v>
      </c>
      <c r="J33" s="28">
        <f t="shared" si="17"/>
        <v>3.3007553456571977E-2</v>
      </c>
      <c r="K33" s="28">
        <f t="shared" si="17"/>
        <v>-0.91135037699248722</v>
      </c>
      <c r="L33" s="28">
        <f t="shared" si="17"/>
        <v>-11.0952032769105</v>
      </c>
      <c r="M33" s="28">
        <f t="shared" si="17"/>
        <v>-2.7004344449018798</v>
      </c>
      <c r="N33" s="28">
        <f t="shared" si="17"/>
        <v>-0.97501702486704633</v>
      </c>
      <c r="O33" s="28">
        <f t="shared" si="17"/>
        <v>-0.93059981878002862</v>
      </c>
      <c r="P33" s="28">
        <f t="shared" si="17"/>
        <v>-0.9054492880170949</v>
      </c>
      <c r="Q33" s="28">
        <f t="shared" si="17"/>
        <v>-1.177666097951058</v>
      </c>
      <c r="R33" s="28">
        <f t="shared" si="17"/>
        <v>-1.0060554898873908</v>
      </c>
      <c r="S33" s="28">
        <f t="shared" si="17"/>
        <v>-0.99726667933822333</v>
      </c>
      <c r="T33" s="28">
        <f t="shared" si="17"/>
        <v>-5.4592934682480443E-2</v>
      </c>
      <c r="U33" s="28">
        <f t="shared" si="17"/>
        <v>-0.11132588170893497</v>
      </c>
      <c r="V33" s="28">
        <f t="shared" ref="V33:Y33" si="18">V8/V6</f>
        <v>-6.3984946915451285E-2</v>
      </c>
      <c r="W33" s="28">
        <f t="shared" si="18"/>
        <v>-9.5409540954095415E-2</v>
      </c>
      <c r="X33" s="28">
        <f t="shared" si="18"/>
        <v>-0.14910979228486645</v>
      </c>
      <c r="Y33" s="28">
        <f t="shared" si="18"/>
        <v>-9.6749811035525324E-2</v>
      </c>
      <c r="Z33" s="28"/>
      <c r="AA33" s="1"/>
    </row>
    <row r="34" spans="1:27" x14ac:dyDescent="0.3">
      <c r="A34" s="18" t="s">
        <v>74</v>
      </c>
      <c r="B34" s="17" t="s">
        <v>35</v>
      </c>
      <c r="C34" s="6" t="s">
        <v>54</v>
      </c>
      <c r="D34" s="27" t="e">
        <f t="shared" ref="D34:U34" si="19">D11/D10</f>
        <v>#DIV/0!</v>
      </c>
      <c r="E34" s="27">
        <f t="shared" si="19"/>
        <v>0.13104567311894771</v>
      </c>
      <c r="F34" s="27">
        <f t="shared" si="19"/>
        <v>9.1222711462252928E-2</v>
      </c>
      <c r="G34" s="27">
        <f t="shared" si="19"/>
        <v>0.11452220619774421</v>
      </c>
      <c r="H34" s="27">
        <f t="shared" si="19"/>
        <v>1.4990277279105921</v>
      </c>
      <c r="I34" s="27">
        <f t="shared" si="19"/>
        <v>0.31854075534187803</v>
      </c>
      <c r="J34" s="27">
        <f t="shared" si="19"/>
        <v>0.13989040402283054</v>
      </c>
      <c r="K34" s="27">
        <f t="shared" si="19"/>
        <v>13.445234297516436</v>
      </c>
      <c r="L34" s="27">
        <f t="shared" si="19"/>
        <v>-69.107670977052152</v>
      </c>
      <c r="M34" s="27">
        <f t="shared" si="19"/>
        <v>1.3493288757302055</v>
      </c>
      <c r="N34" s="27">
        <f t="shared" si="19"/>
        <v>-0.45719499397167918</v>
      </c>
      <c r="O34" s="27">
        <f t="shared" si="19"/>
        <v>0.28829692706679055</v>
      </c>
      <c r="P34" s="27">
        <f t="shared" si="19"/>
        <v>1.0862685724479584</v>
      </c>
      <c r="Q34" s="27">
        <f t="shared" si="19"/>
        <v>-2.148703357850632E-3</v>
      </c>
      <c r="R34" s="27">
        <f t="shared" si="19"/>
        <v>-9.3564664512850976E-2</v>
      </c>
      <c r="S34" s="27">
        <f t="shared" si="19"/>
        <v>4.7046993589148108E-2</v>
      </c>
      <c r="T34" s="27">
        <f t="shared" si="19"/>
        <v>6.4971751412429377E-2</v>
      </c>
      <c r="U34" s="27">
        <f t="shared" si="19"/>
        <v>-0.41002949852507375</v>
      </c>
      <c r="V34" s="27">
        <f t="shared" ref="V34:Y34" si="20">V11/V10</f>
        <v>0.10546875</v>
      </c>
      <c r="W34" s="27">
        <f t="shared" si="20"/>
        <v>0.14448669201520911</v>
      </c>
      <c r="X34" s="27">
        <f t="shared" si="20"/>
        <v>0.14285714285714285</v>
      </c>
      <c r="Y34" s="27">
        <f t="shared" si="20"/>
        <v>-8.2872928176795591E-2</v>
      </c>
      <c r="Z34" s="27"/>
      <c r="AA34" s="1"/>
    </row>
    <row r="35" spans="1:27" x14ac:dyDescent="0.3">
      <c r="A35" s="16" t="s">
        <v>75</v>
      </c>
      <c r="B35" s="2" t="s">
        <v>36</v>
      </c>
      <c r="C35" s="1" t="s">
        <v>108</v>
      </c>
      <c r="D35" s="28" t="e">
        <f t="shared" ref="D35:U35" si="21">D12/D6</f>
        <v>#DIV/0!</v>
      </c>
      <c r="E35" s="28">
        <f t="shared" si="21"/>
        <v>1</v>
      </c>
      <c r="F35" s="28">
        <f t="shared" si="21"/>
        <v>1</v>
      </c>
      <c r="G35" s="28">
        <f t="shared" si="21"/>
        <v>-8.2520936039006801E-2</v>
      </c>
      <c r="H35" s="28">
        <f t="shared" si="21"/>
        <v>-2.341284780514807E-2</v>
      </c>
      <c r="I35" s="28">
        <f t="shared" si="21"/>
        <v>0.35939109917626361</v>
      </c>
      <c r="J35" s="28">
        <f t="shared" si="21"/>
        <v>1.3309912276222498E-2</v>
      </c>
      <c r="K35" s="28">
        <f t="shared" si="21"/>
        <v>-5.4150200143448417E-3</v>
      </c>
      <c r="L35" s="28">
        <f t="shared" si="21"/>
        <v>0.47013216911139194</v>
      </c>
      <c r="M35" s="28">
        <f t="shared" si="21"/>
        <v>1.4340285439824345E-2</v>
      </c>
      <c r="N35" s="28">
        <f t="shared" si="21"/>
        <v>6.353948827373058E-3</v>
      </c>
      <c r="O35" s="28">
        <f t="shared" si="21"/>
        <v>4.4510980474934389E-2</v>
      </c>
      <c r="P35" s="28">
        <f t="shared" si="21"/>
        <v>7.1704787369087544E-2</v>
      </c>
      <c r="Q35" s="28">
        <f t="shared" si="21"/>
        <v>0.70723373101422482</v>
      </c>
      <c r="R35" s="28">
        <f t="shared" si="21"/>
        <v>0.86149069893181707</v>
      </c>
      <c r="S35" s="28">
        <f t="shared" si="21"/>
        <v>0.21768924951232446</v>
      </c>
      <c r="T35" s="28">
        <f t="shared" si="21"/>
        <v>0.26234938055747548</v>
      </c>
      <c r="U35" s="28">
        <f t="shared" si="21"/>
        <v>0.36427040205440631</v>
      </c>
      <c r="V35" s="28">
        <f t="shared" ref="V35:Y35" si="22">V12/V6</f>
        <v>0.16031393293102081</v>
      </c>
      <c r="W35" s="28">
        <f t="shared" si="22"/>
        <v>0.61566156615661571</v>
      </c>
      <c r="X35" s="28">
        <f t="shared" si="22"/>
        <v>0.3827893175074184</v>
      </c>
      <c r="Y35" s="28">
        <f t="shared" si="22"/>
        <v>0.45427059712773998</v>
      </c>
      <c r="Z35" s="28"/>
      <c r="AA35" s="1"/>
    </row>
    <row r="36" spans="1:27" x14ac:dyDescent="0.3">
      <c r="A36" s="18" t="s">
        <v>76</v>
      </c>
      <c r="B36" s="17" t="s">
        <v>37</v>
      </c>
      <c r="C36" s="6" t="s">
        <v>56</v>
      </c>
      <c r="D36" s="29" t="e">
        <f t="shared" ref="D36" si="23">D26/D12</f>
        <v>#DIV/0!</v>
      </c>
      <c r="E36" s="29">
        <f t="shared" ref="E36:Y36" si="24">IF(E26/E12&lt;0,0,E26/E12)</f>
        <v>12.870515326126657</v>
      </c>
      <c r="F36" s="29">
        <f t="shared" si="24"/>
        <v>3.6254940760847845</v>
      </c>
      <c r="G36" s="29">
        <f t="shared" si="24"/>
        <v>0</v>
      </c>
      <c r="H36" s="29">
        <f t="shared" si="24"/>
        <v>0</v>
      </c>
      <c r="I36" s="29">
        <f t="shared" si="24"/>
        <v>22.140131128290438</v>
      </c>
      <c r="J36" s="29">
        <f t="shared" si="24"/>
        <v>71.669903781482688</v>
      </c>
      <c r="K36" s="29">
        <f t="shared" si="24"/>
        <v>0</v>
      </c>
      <c r="L36" s="29">
        <f t="shared" si="24"/>
        <v>32.520404611548756</v>
      </c>
      <c r="M36" s="29">
        <f t="shared" si="24"/>
        <v>69.733618915485764</v>
      </c>
      <c r="N36" s="29">
        <f t="shared" si="24"/>
        <v>115.08479593702214</v>
      </c>
      <c r="O36" s="29">
        <f t="shared" si="24"/>
        <v>11.688535853561921</v>
      </c>
      <c r="P36" s="29">
        <f t="shared" si="24"/>
        <v>6.9374867224044605</v>
      </c>
      <c r="Q36" s="29">
        <f t="shared" si="24"/>
        <v>7.0563030841174674</v>
      </c>
      <c r="R36" s="29">
        <f t="shared" si="24"/>
        <v>8.9349893612527751</v>
      </c>
      <c r="S36" s="29">
        <f t="shared" si="24"/>
        <v>16.850398332633333</v>
      </c>
      <c r="T36" s="29">
        <f t="shared" si="24"/>
        <v>18.293176300578029</v>
      </c>
      <c r="U36" s="29">
        <f t="shared" si="24"/>
        <v>16.216616839916838</v>
      </c>
      <c r="V36" s="29">
        <f t="shared" si="24"/>
        <v>33.795631578947365</v>
      </c>
      <c r="W36" s="29">
        <f t="shared" si="24"/>
        <v>11.042777777777779</v>
      </c>
      <c r="X36" s="29">
        <f t="shared" si="24"/>
        <v>11.763817829457365</v>
      </c>
      <c r="Y36" s="29">
        <f t="shared" si="24"/>
        <v>7.1234608985024961</v>
      </c>
      <c r="Z36" s="29"/>
      <c r="AA36" s="1"/>
    </row>
    <row r="37" spans="1:27" x14ac:dyDescent="0.3">
      <c r="A37" s="16" t="s">
        <v>77</v>
      </c>
      <c r="B37" s="2" t="s">
        <v>38</v>
      </c>
      <c r="C37" s="1" t="s">
        <v>57</v>
      </c>
      <c r="D37" s="30" t="e">
        <f t="shared" ref="D37:U37" si="25">D26/D23</f>
        <v>#DIV/0!</v>
      </c>
      <c r="E37" s="30">
        <f t="shared" si="25"/>
        <v>42.959148271870696</v>
      </c>
      <c r="F37" s="30">
        <f t="shared" si="25"/>
        <v>13.05385717435334</v>
      </c>
      <c r="G37" s="30">
        <f t="shared" si="25"/>
        <v>1.1055082105118719</v>
      </c>
      <c r="H37" s="30">
        <f t="shared" si="25"/>
        <v>2.2472063950901839</v>
      </c>
      <c r="I37" s="30">
        <f t="shared" si="25"/>
        <v>1.9514294952484106</v>
      </c>
      <c r="J37" s="30">
        <f t="shared" si="25"/>
        <v>1.2054556812593824</v>
      </c>
      <c r="K37" s="30">
        <f t="shared" si="25"/>
        <v>1.6367357821497963</v>
      </c>
      <c r="L37" s="30">
        <f t="shared" si="25"/>
        <v>1.2920646900296051</v>
      </c>
      <c r="M37" s="30">
        <f t="shared" si="25"/>
        <v>0.39221533373850881</v>
      </c>
      <c r="N37" s="30">
        <f t="shared" si="25"/>
        <v>0.74749215560964954</v>
      </c>
      <c r="O37" s="30">
        <f t="shared" si="25"/>
        <v>0.49556422644955905</v>
      </c>
      <c r="P37" s="30">
        <f t="shared" si="25"/>
        <v>0.42490632566454523</v>
      </c>
      <c r="Q37" s="30">
        <f t="shared" si="25"/>
        <v>0.49136841826684458</v>
      </c>
      <c r="R37" s="30">
        <f t="shared" si="25"/>
        <v>0.8156096992376044</v>
      </c>
      <c r="S37" s="30">
        <f t="shared" si="25"/>
        <v>0.44832599342237756</v>
      </c>
      <c r="T37" s="30">
        <f t="shared" si="25"/>
        <v>0.61636371603856244</v>
      </c>
      <c r="U37" s="30">
        <f t="shared" si="25"/>
        <v>0.75500579658803002</v>
      </c>
      <c r="V37" s="30">
        <f t="shared" ref="V37:Y37" si="26">V26/V23</f>
        <v>0.7478796467048433</v>
      </c>
      <c r="W37" s="30">
        <f t="shared" si="26"/>
        <v>0.71036019937929107</v>
      </c>
      <c r="X37" s="30">
        <f t="shared" si="26"/>
        <v>0.56566303233622228</v>
      </c>
      <c r="Y37" s="30">
        <f t="shared" si="26"/>
        <v>0.3887052841837661</v>
      </c>
      <c r="Z37" s="30">
        <f t="shared" ref="Z37" si="27">Z26/Z23</f>
        <v>0.45143946031189763</v>
      </c>
      <c r="AA37" s="1"/>
    </row>
    <row r="38" spans="1:27" x14ac:dyDescent="0.3">
      <c r="A38" s="18" t="s">
        <v>78</v>
      </c>
      <c r="B38" s="17" t="s">
        <v>39</v>
      </c>
      <c r="C38" s="6" t="s">
        <v>106</v>
      </c>
      <c r="D38" s="55" t="e">
        <f t="shared" ref="D38:U38" si="28">D8/D23</f>
        <v>#DIV/0!</v>
      </c>
      <c r="E38" s="55">
        <f t="shared" si="28"/>
        <v>0.39040393067416762</v>
      </c>
      <c r="F38" s="55">
        <f t="shared" si="28"/>
        <v>0.49839268202181031</v>
      </c>
      <c r="G38" s="55">
        <f t="shared" si="28"/>
        <v>-0.22473574018022907</v>
      </c>
      <c r="H38" s="55">
        <f t="shared" si="28"/>
        <v>6.7655986067712198E-2</v>
      </c>
      <c r="I38" s="55">
        <f t="shared" si="28"/>
        <v>0.1711760451517047</v>
      </c>
      <c r="J38" s="55">
        <f t="shared" si="28"/>
        <v>4.1711188910437187E-2</v>
      </c>
      <c r="K38" s="55">
        <f t="shared" si="28"/>
        <v>-0.90096263198847404</v>
      </c>
      <c r="L38" s="55">
        <f t="shared" si="28"/>
        <v>-0.93765616210011349</v>
      </c>
      <c r="M38" s="55">
        <f t="shared" si="28"/>
        <v>-1.0591517970461555</v>
      </c>
      <c r="N38" s="55">
        <f t="shared" si="28"/>
        <v>-0.99668328197835732</v>
      </c>
      <c r="O38" s="55">
        <f t="shared" si="28"/>
        <v>-0.88641202203991598</v>
      </c>
      <c r="P38" s="55">
        <f t="shared" si="28"/>
        <v>-0.77340506316461854</v>
      </c>
      <c r="Q38" s="55">
        <f t="shared" si="28"/>
        <v>-0.11595493059640825</v>
      </c>
      <c r="R38" s="55">
        <f t="shared" si="28"/>
        <v>-0.10660060865009752</v>
      </c>
      <c r="S38" s="55">
        <f t="shared" si="28"/>
        <v>-0.12188719262012673</v>
      </c>
      <c r="T38" s="55">
        <f t="shared" si="28"/>
        <v>-7.0113935144609984E-3</v>
      </c>
      <c r="U38" s="55">
        <f t="shared" si="28"/>
        <v>-1.422860387775297E-2</v>
      </c>
      <c r="V38" s="55">
        <f t="shared" ref="V38:Y38" si="29">V8/V23</f>
        <v>-8.8323789187615253E-3</v>
      </c>
      <c r="W38" s="55">
        <f t="shared" si="29"/>
        <v>-9.9689645443430831E-3</v>
      </c>
      <c r="X38" s="55">
        <f t="shared" si="29"/>
        <v>-1.873077998322617E-2</v>
      </c>
      <c r="Y38" s="55">
        <f t="shared" si="29"/>
        <v>-1.1621572544034864E-2</v>
      </c>
      <c r="Z38" s="55">
        <f t="shared" ref="Z38" si="30">Z8/Z23</f>
        <v>0</v>
      </c>
      <c r="AA38" s="1"/>
    </row>
    <row r="39" spans="1:27" x14ac:dyDescent="0.3">
      <c r="A39" s="16" t="s">
        <v>79</v>
      </c>
      <c r="B39" s="2" t="s">
        <v>40</v>
      </c>
      <c r="C39" s="1" t="s">
        <v>107</v>
      </c>
      <c r="D39" s="56" t="e">
        <f t="shared" ref="D39:U39" si="31">D12/D23</f>
        <v>#DIV/0!</v>
      </c>
      <c r="E39" s="56">
        <f t="shared" si="31"/>
        <v>3.3377955103837418</v>
      </c>
      <c r="F39" s="56">
        <f t="shared" si="31"/>
        <v>3.6005733012948022</v>
      </c>
      <c r="G39" s="56">
        <f t="shared" si="31"/>
        <v>-0.25327678612995796</v>
      </c>
      <c r="H39" s="56">
        <f t="shared" si="31"/>
        <v>-8.219979563638817E-2</v>
      </c>
      <c r="I39" s="56">
        <f t="shared" si="31"/>
        <v>8.8139924914667434E-2</v>
      </c>
      <c r="J39" s="56">
        <f t="shared" si="31"/>
        <v>1.6819552108437955E-2</v>
      </c>
      <c r="K39" s="56">
        <f t="shared" si="31"/>
        <v>-5.3532985858792386E-3</v>
      </c>
      <c r="L39" s="56">
        <f t="shared" si="31"/>
        <v>3.9730892203314182E-2</v>
      </c>
      <c r="M39" s="56">
        <f t="shared" si="31"/>
        <v>5.6244798396861834E-3</v>
      </c>
      <c r="N39" s="56">
        <f t="shared" si="31"/>
        <v>6.4951425557438517E-3</v>
      </c>
      <c r="O39" s="56">
        <f t="shared" si="31"/>
        <v>4.2397459584173895E-2</v>
      </c>
      <c r="P39" s="56">
        <f t="shared" si="31"/>
        <v>6.1247875875901803E-2</v>
      </c>
      <c r="Q39" s="56">
        <f t="shared" si="31"/>
        <v>6.963539014825354E-2</v>
      </c>
      <c r="R39" s="56">
        <f t="shared" si="31"/>
        <v>9.1282671558016018E-2</v>
      </c>
      <c r="S39" s="56">
        <f t="shared" si="31"/>
        <v>2.6606254912925519E-2</v>
      </c>
      <c r="T39" s="56">
        <f t="shared" si="31"/>
        <v>3.3693641055604247E-2</v>
      </c>
      <c r="U39" s="56">
        <f t="shared" si="31"/>
        <v>4.6557540579586255E-2</v>
      </c>
      <c r="V39" s="56">
        <f t="shared" ref="V39:Y39" si="32">V12/V23</f>
        <v>2.2129476851402506E-2</v>
      </c>
      <c r="W39" s="56">
        <f t="shared" si="32"/>
        <v>6.4328035361610095E-2</v>
      </c>
      <c r="X39" s="56">
        <f t="shared" si="32"/>
        <v>4.8084987419625393E-2</v>
      </c>
      <c r="Y39" s="56">
        <f t="shared" si="32"/>
        <v>5.4566914835663699E-2</v>
      </c>
      <c r="Z39" s="56">
        <f t="shared" ref="Z39" si="33">Z12/Z23</f>
        <v>0</v>
      </c>
      <c r="AA39" s="1"/>
    </row>
    <row r="40" spans="1:27" x14ac:dyDescent="0.3">
      <c r="A40" s="18" t="s">
        <v>80</v>
      </c>
      <c r="B40" s="17" t="s">
        <v>41</v>
      </c>
      <c r="C40" s="6" t="s">
        <v>61</v>
      </c>
      <c r="D40" s="7">
        <f t="shared" ref="D40:U40" si="34">D20-D19</f>
        <v>0</v>
      </c>
      <c r="E40" s="7">
        <f t="shared" si="34"/>
        <v>85.327590999999998</v>
      </c>
      <c r="F40" s="7">
        <f t="shared" si="34"/>
        <v>44.047528999999997</v>
      </c>
      <c r="G40" s="7">
        <f t="shared" si="34"/>
        <v>-110.67984899999999</v>
      </c>
      <c r="H40" s="7">
        <f t="shared" si="34"/>
        <v>48.886637000000007</v>
      </c>
      <c r="I40" s="7">
        <f t="shared" si="34"/>
        <v>-10.153750000000002</v>
      </c>
      <c r="J40" s="7">
        <f t="shared" si="34"/>
        <v>157.39366000000001</v>
      </c>
      <c r="K40" s="7">
        <f t="shared" si="34"/>
        <v>52.00598500000001</v>
      </c>
      <c r="L40" s="7">
        <f t="shared" si="34"/>
        <v>4.1196069999999736</v>
      </c>
      <c r="M40" s="7">
        <f t="shared" si="34"/>
        <v>-10.231844000000024</v>
      </c>
      <c r="N40" s="7">
        <f t="shared" si="34"/>
        <v>-126.01304899999997</v>
      </c>
      <c r="O40" s="7">
        <f t="shared" si="34"/>
        <v>-125.42167000000001</v>
      </c>
      <c r="P40" s="7">
        <f t="shared" si="34"/>
        <v>-121.67168900000001</v>
      </c>
      <c r="Q40" s="7">
        <f t="shared" si="34"/>
        <v>-203.90802799999994</v>
      </c>
      <c r="R40" s="7">
        <f t="shared" si="34"/>
        <v>398.78153300000002</v>
      </c>
      <c r="S40" s="7">
        <f t="shared" si="34"/>
        <v>244.17229700000001</v>
      </c>
      <c r="T40" s="7">
        <f t="shared" si="34"/>
        <v>265.672482</v>
      </c>
      <c r="U40" s="7">
        <f t="shared" si="34"/>
        <v>240.05542400000002</v>
      </c>
      <c r="V40" s="7">
        <f t="shared" ref="V40:Y40" si="35">V20-V19</f>
        <v>210.47154599999999</v>
      </c>
      <c r="W40" s="7">
        <f t="shared" si="35"/>
        <v>224.50000000000003</v>
      </c>
      <c r="X40" s="7">
        <f t="shared" si="35"/>
        <v>246.8</v>
      </c>
      <c r="Y40" s="7">
        <f t="shared" si="35"/>
        <v>219.29999999999998</v>
      </c>
      <c r="Z40" s="7">
        <f t="shared" ref="Z40" si="36">Z20-Z19</f>
        <v>213.89999999999998</v>
      </c>
      <c r="AA40" s="1"/>
    </row>
    <row r="41" spans="1:27" x14ac:dyDescent="0.3">
      <c r="A41" s="53" t="s">
        <v>96</v>
      </c>
      <c r="B41" s="49" t="s">
        <v>42</v>
      </c>
      <c r="C41" s="52" t="s">
        <v>98</v>
      </c>
      <c r="D41" s="29" t="e">
        <f t="shared" ref="D41:U41" si="37">D20/D19</f>
        <v>#DIV/0!</v>
      </c>
      <c r="E41" s="29">
        <f t="shared" si="37"/>
        <v>3.4918549844887652</v>
      </c>
      <c r="F41" s="29">
        <f t="shared" si="37"/>
        <v>1.5394079777392391</v>
      </c>
      <c r="G41" s="29">
        <f t="shared" si="37"/>
        <v>0.77515429691755822</v>
      </c>
      <c r="H41" s="29">
        <f t="shared" si="37"/>
        <v>1.1472266448048318</v>
      </c>
      <c r="I41" s="29">
        <f t="shared" si="37"/>
        <v>0.96515744593109898</v>
      </c>
      <c r="J41" s="29">
        <f t="shared" si="37"/>
        <v>1.5537588979340289</v>
      </c>
      <c r="K41" s="29">
        <f t="shared" si="37"/>
        <v>1.1602014447959035</v>
      </c>
      <c r="L41" s="29">
        <f t="shared" si="37"/>
        <v>1.010283612211853</v>
      </c>
      <c r="M41" s="29">
        <f t="shared" si="37"/>
        <v>0.97836880996311948</v>
      </c>
      <c r="N41" s="29">
        <f t="shared" si="37"/>
        <v>0.76653140495620176</v>
      </c>
      <c r="O41" s="29">
        <f t="shared" si="37"/>
        <v>0.74188257595396634</v>
      </c>
      <c r="P41" s="29">
        <f t="shared" si="37"/>
        <v>0.78318681322832673</v>
      </c>
      <c r="Q41" s="29">
        <f t="shared" si="37"/>
        <v>0.60755729138207559</v>
      </c>
      <c r="R41" s="29">
        <f t="shared" si="37"/>
        <v>7.539032650600257</v>
      </c>
      <c r="S41" s="29">
        <f t="shared" si="37"/>
        <v>5.1549806121447084</v>
      </c>
      <c r="T41" s="29">
        <f t="shared" si="37"/>
        <v>5.9783036658538782</v>
      </c>
      <c r="U41" s="29">
        <f t="shared" si="37"/>
        <v>5.6523298556604891</v>
      </c>
      <c r="V41" s="29">
        <f t="shared" ref="V41:Y41" si="38">V20/V19</f>
        <v>4.8109259042449386</v>
      </c>
      <c r="W41" s="29">
        <f t="shared" si="38"/>
        <v>3.6536643026004731</v>
      </c>
      <c r="X41" s="29">
        <f t="shared" si="38"/>
        <v>5.1972789115646263</v>
      </c>
      <c r="Y41" s="29">
        <f t="shared" si="38"/>
        <v>4.5716612377850163</v>
      </c>
      <c r="Z41" s="29">
        <f t="shared" ref="Z41" si="39">Z20/Z19</f>
        <v>5.1941176470588228</v>
      </c>
      <c r="AA41" s="1"/>
    </row>
    <row r="42" spans="1:27" x14ac:dyDescent="0.3">
      <c r="A42" s="16" t="s">
        <v>81</v>
      </c>
      <c r="B42" s="17" t="s">
        <v>43</v>
      </c>
      <c r="C42" s="1" t="s">
        <v>60</v>
      </c>
      <c r="D42" s="30" t="e">
        <f t="shared" ref="D42:U42" si="40">(D20-D21)/D19</f>
        <v>#DIV/0!</v>
      </c>
      <c r="E42" s="30">
        <f t="shared" si="40"/>
        <v>3.2815802036521817</v>
      </c>
      <c r="F42" s="30">
        <f t="shared" si="40"/>
        <v>1.5326405517655952</v>
      </c>
      <c r="G42" s="30">
        <f t="shared" si="40"/>
        <v>0.74190826686660061</v>
      </c>
      <c r="H42" s="30">
        <f t="shared" si="40"/>
        <v>1.1222945623213161</v>
      </c>
      <c r="I42" s="30">
        <f t="shared" si="40"/>
        <v>0.92113977460437135</v>
      </c>
      <c r="J42" s="30">
        <f t="shared" si="40"/>
        <v>1.4720896630454583</v>
      </c>
      <c r="K42" s="30">
        <f t="shared" si="40"/>
        <v>1.1135684899371294</v>
      </c>
      <c r="L42" s="30">
        <f t="shared" si="40"/>
        <v>0.9502821469568673</v>
      </c>
      <c r="M42" s="30">
        <f t="shared" si="40"/>
        <v>0.91576235448252297</v>
      </c>
      <c r="N42" s="30">
        <f t="shared" si="40"/>
        <v>0.74052872037132478</v>
      </c>
      <c r="O42" s="30">
        <f t="shared" si="40"/>
        <v>0.7059216503944169</v>
      </c>
      <c r="P42" s="30">
        <f t="shared" si="40"/>
        <v>0.77006203711285581</v>
      </c>
      <c r="Q42" s="30">
        <f t="shared" si="40"/>
        <v>0.58099358620854424</v>
      </c>
      <c r="R42" s="30">
        <f t="shared" si="40"/>
        <v>7.5299562071132824</v>
      </c>
      <c r="S42" s="30">
        <f t="shared" si="40"/>
        <v>5.1366459478301891</v>
      </c>
      <c r="T42" s="30">
        <f t="shared" si="40"/>
        <v>5.9558174664776677</v>
      </c>
      <c r="U42" s="30">
        <f t="shared" si="40"/>
        <v>5.6407017163463093</v>
      </c>
      <c r="V42" s="30">
        <f t="shared" ref="V42:Y42" si="41">(V20-V21)/V19</f>
        <v>4.8000619390866888</v>
      </c>
      <c r="W42" s="30">
        <f t="shared" si="41"/>
        <v>3.6489361702127669</v>
      </c>
      <c r="X42" s="30">
        <f t="shared" si="41"/>
        <v>5.1938775510204094</v>
      </c>
      <c r="Y42" s="30">
        <f t="shared" si="41"/>
        <v>4.5667752442996736</v>
      </c>
      <c r="Z42" s="30">
        <f t="shared" ref="Z42" si="42">(Z20-Z21)/Z19</f>
        <v>5.1921568627450974</v>
      </c>
      <c r="AA42" s="1"/>
    </row>
    <row r="43" spans="1:27" x14ac:dyDescent="0.3">
      <c r="A43" s="18" t="s">
        <v>82</v>
      </c>
      <c r="B43" s="49" t="s">
        <v>44</v>
      </c>
      <c r="C43" s="6" t="s">
        <v>62</v>
      </c>
      <c r="D43" s="29" t="e">
        <f t="shared" ref="D43:U43" si="43">D14/D19</f>
        <v>#DIV/0!</v>
      </c>
      <c r="E43" s="29">
        <f t="shared" si="43"/>
        <v>4.262767320903416</v>
      </c>
      <c r="F43" s="29">
        <f t="shared" si="43"/>
        <v>0.26944775876821647</v>
      </c>
      <c r="G43" s="29">
        <f t="shared" si="43"/>
        <v>0.25314462929485182</v>
      </c>
      <c r="H43" s="29">
        <f t="shared" si="43"/>
        <v>0.4149254196656848</v>
      </c>
      <c r="I43" s="29">
        <f t="shared" si="43"/>
        <v>0.17690828263452185</v>
      </c>
      <c r="J43" s="29">
        <f t="shared" si="43"/>
        <v>0.73659335461992281</v>
      </c>
      <c r="K43" s="29">
        <f t="shared" si="43"/>
        <v>0.38765131137254477</v>
      </c>
      <c r="L43" s="29">
        <f t="shared" si="43"/>
        <v>0.20775665919486805</v>
      </c>
      <c r="M43" s="29">
        <f t="shared" si="43"/>
        <v>0.22324640919624744</v>
      </c>
      <c r="N43" s="29">
        <f t="shared" si="43"/>
        <v>0.15367844512395834</v>
      </c>
      <c r="O43" s="29">
        <f t="shared" si="43"/>
        <v>0.13587760528609377</v>
      </c>
      <c r="P43" s="29">
        <f t="shared" si="43"/>
        <v>0.33684563919410809</v>
      </c>
      <c r="Q43" s="29">
        <f t="shared" si="43"/>
        <v>0.11872073540845032</v>
      </c>
      <c r="R43" s="29">
        <f t="shared" si="43"/>
        <v>3.0828131899773701</v>
      </c>
      <c r="S43" s="29">
        <f t="shared" si="43"/>
        <v>3.0938635783138495</v>
      </c>
      <c r="T43" s="29">
        <f t="shared" si="43"/>
        <v>4.8888745143777319</v>
      </c>
      <c r="U43" s="29">
        <f t="shared" si="43"/>
        <v>4.0756628296197164</v>
      </c>
      <c r="V43" s="29">
        <f t="shared" ref="V43:Y43" si="44">V14/V19</f>
        <v>3.6575349366107552</v>
      </c>
      <c r="W43" s="29">
        <f t="shared" si="44"/>
        <v>2.706855791962175</v>
      </c>
      <c r="X43" s="29">
        <f t="shared" si="44"/>
        <v>4.3520408163265305</v>
      </c>
      <c r="Y43" s="29">
        <f t="shared" si="44"/>
        <v>3.8061889250814329</v>
      </c>
      <c r="Z43" s="29">
        <f t="shared" ref="Z43" si="45">Z14/Z19</f>
        <v>4.3686274509803926</v>
      </c>
      <c r="AA43" s="1"/>
    </row>
    <row r="44" spans="1:27" x14ac:dyDescent="0.3">
      <c r="A44" s="16" t="s">
        <v>83</v>
      </c>
      <c r="B44" s="17" t="s">
        <v>45</v>
      </c>
      <c r="C44" s="1" t="s">
        <v>63</v>
      </c>
      <c r="D44" s="30" t="e">
        <f t="shared" ref="D44:U44" si="46">D29/D7</f>
        <v>#DIV/0!</v>
      </c>
      <c r="E44" s="30">
        <f t="shared" si="46"/>
        <v>-1.3744374628367133</v>
      </c>
      <c r="F44" s="30">
        <f t="shared" si="46"/>
        <v>1.8345743292880783</v>
      </c>
      <c r="G44" s="30">
        <f t="shared" si="46"/>
        <v>5.3727793062858673</v>
      </c>
      <c r="H44" s="30">
        <f t="shared" si="46"/>
        <v>2.3303047244518931</v>
      </c>
      <c r="I44" s="30">
        <f t="shared" si="46"/>
        <v>1.3165457515905907</v>
      </c>
      <c r="J44" s="30">
        <f t="shared" si="46"/>
        <v>1.6044600915773657</v>
      </c>
      <c r="K44" s="30">
        <f t="shared" si="46"/>
        <v>-0.4945700498281384</v>
      </c>
      <c r="L44" s="30">
        <f t="shared" si="46"/>
        <v>-0.42117024887077947</v>
      </c>
      <c r="M44" s="30">
        <f t="shared" si="46"/>
        <v>-0.36288533827701897</v>
      </c>
      <c r="N44" s="30">
        <f t="shared" si="46"/>
        <v>-0.38322839611999987</v>
      </c>
      <c r="O44" s="30">
        <f t="shared" si="46"/>
        <v>-0.50102381384633188</v>
      </c>
      <c r="P44" s="30">
        <f t="shared" si="46"/>
        <v>-0.46999296361514847</v>
      </c>
      <c r="Q44" s="30">
        <f t="shared" si="46"/>
        <v>39.060576899472217</v>
      </c>
      <c r="R44" s="30">
        <f t="shared" si="46"/>
        <v>-17.394976379594127</v>
      </c>
      <c r="S44" s="30">
        <f t="shared" si="46"/>
        <v>1.4531217378590386</v>
      </c>
      <c r="T44" s="30">
        <f t="shared" si="46"/>
        <v>-226.22389818181816</v>
      </c>
      <c r="U44" s="30">
        <f t="shared" si="46"/>
        <v>48.636379761904763</v>
      </c>
      <c r="V44" s="30">
        <f t="shared" ref="V44:Y44" si="47">V29/V7</f>
        <v>-659.66666666666674</v>
      </c>
      <c r="W44" s="30">
        <f t="shared" si="47"/>
        <v>44.956521739130437</v>
      </c>
      <c r="X44" s="30">
        <f t="shared" si="47"/>
        <v>23.888888888888889</v>
      </c>
      <c r="Y44" s="30">
        <f t="shared" si="47"/>
        <v>55.256410256410255</v>
      </c>
      <c r="Z44" s="30"/>
      <c r="AA44" s="1"/>
    </row>
    <row r="45" spans="1:27" x14ac:dyDescent="0.3">
      <c r="A45" s="18" t="s">
        <v>84</v>
      </c>
      <c r="B45" s="54" t="s">
        <v>99</v>
      </c>
      <c r="C45" s="6" t="s">
        <v>64</v>
      </c>
      <c r="D45" s="29" t="e">
        <f t="shared" ref="D45:U45" si="48">D18/D23</f>
        <v>#DIV/0!</v>
      </c>
      <c r="E45" s="29">
        <f t="shared" si="48"/>
        <v>4.4603758001540879</v>
      </c>
      <c r="F45" s="29">
        <f t="shared" si="48"/>
        <v>4.1924269210579581</v>
      </c>
      <c r="G45" s="29">
        <f t="shared" si="48"/>
        <v>4.7561442547035524</v>
      </c>
      <c r="H45" s="29">
        <f t="shared" si="48"/>
        <v>5.0655056080385314</v>
      </c>
      <c r="I45" s="29">
        <f t="shared" si="48"/>
        <v>2.4027645478915662</v>
      </c>
      <c r="J45" s="29">
        <f t="shared" si="48"/>
        <v>2.1134119461291987</v>
      </c>
      <c r="K45" s="29">
        <f t="shared" si="48"/>
        <v>1.8913957118951585</v>
      </c>
      <c r="L45" s="29">
        <f t="shared" si="48"/>
        <v>1.8800206469505407</v>
      </c>
      <c r="M45" s="29">
        <f t="shared" si="48"/>
        <v>2.1243694014934595</v>
      </c>
      <c r="N45" s="29">
        <f t="shared" si="48"/>
        <v>2.0521839460859304</v>
      </c>
      <c r="O45" s="29">
        <f t="shared" si="48"/>
        <v>1.9091166564689948</v>
      </c>
      <c r="P45" s="29">
        <f t="shared" si="48"/>
        <v>1.9774763246268781</v>
      </c>
      <c r="Q45" s="29">
        <f t="shared" si="48"/>
        <v>1.752951198620299</v>
      </c>
      <c r="R45" s="29">
        <f t="shared" si="48"/>
        <v>1.0794280720401297</v>
      </c>
      <c r="S45" s="29">
        <f t="shared" si="48"/>
        <v>1.0706552054955785</v>
      </c>
      <c r="T45" s="29">
        <f t="shared" si="48"/>
        <v>6.3978965819456612E-2</v>
      </c>
      <c r="U45" s="29">
        <f t="shared" si="48"/>
        <v>6.8916775244626638E-2</v>
      </c>
      <c r="V45" s="29">
        <f t="shared" ref="V45:Y45" si="49">V18/V23</f>
        <v>7.3182568184024077E-2</v>
      </c>
      <c r="W45" s="29">
        <f t="shared" si="49"/>
        <v>0.13458102134863162</v>
      </c>
      <c r="X45" s="29">
        <f t="shared" si="49"/>
        <v>0.12105116019010345</v>
      </c>
      <c r="Y45" s="29">
        <f t="shared" si="49"/>
        <v>0.13264935536589792</v>
      </c>
      <c r="Z45" s="29">
        <f t="shared" ref="Z45" si="50">Z18/Z23</f>
        <v>9.4357806202908706E-2</v>
      </c>
      <c r="AA45" s="1"/>
    </row>
    <row r="46" spans="1:27" x14ac:dyDescent="0.3">
      <c r="A46" s="18" t="s">
        <v>97</v>
      </c>
      <c r="B46" s="17" t="s">
        <v>100</v>
      </c>
      <c r="C46" s="6" t="s">
        <v>111</v>
      </c>
      <c r="D46" s="28">
        <f t="shared" ref="D46:U46" si="51">D13/D4</f>
        <v>0</v>
      </c>
      <c r="E46" s="28">
        <f t="shared" si="51"/>
        <v>0</v>
      </c>
      <c r="F46" s="28">
        <f t="shared" si="51"/>
        <v>0</v>
      </c>
      <c r="G46" s="28">
        <f t="shared" si="51"/>
        <v>2.2088679311679628E-3</v>
      </c>
      <c r="H46" s="28">
        <f t="shared" si="51"/>
        <v>0</v>
      </c>
      <c r="I46" s="28">
        <f t="shared" si="51"/>
        <v>0</v>
      </c>
      <c r="J46" s="28">
        <f t="shared" si="51"/>
        <v>0</v>
      </c>
      <c r="K46" s="28">
        <f t="shared" si="51"/>
        <v>0</v>
      </c>
      <c r="L46" s="28">
        <f t="shared" si="51"/>
        <v>0</v>
      </c>
      <c r="M46" s="28">
        <f t="shared" si="51"/>
        <v>0</v>
      </c>
      <c r="N46" s="28">
        <f t="shared" si="51"/>
        <v>0</v>
      </c>
      <c r="O46" s="28">
        <f t="shared" si="51"/>
        <v>3.3488516449410301E-4</v>
      </c>
      <c r="P46" s="28">
        <f t="shared" si="51"/>
        <v>4.1437755473527529E-2</v>
      </c>
      <c r="Q46" s="28">
        <f t="shared" si="51"/>
        <v>4.7328486496265899E-2</v>
      </c>
      <c r="R46" s="28">
        <f t="shared" si="51"/>
        <v>5.3537893052976349E-2</v>
      </c>
      <c r="S46" s="28">
        <f t="shared" si="51"/>
        <v>4.4928969599642736E-5</v>
      </c>
      <c r="T46" s="28">
        <f t="shared" si="51"/>
        <v>1.9323671497584544E-2</v>
      </c>
      <c r="U46" s="28">
        <f t="shared" si="51"/>
        <v>2.3520188161505289E-2</v>
      </c>
      <c r="V46" s="28">
        <f t="shared" ref="V46:Z46" si="52">V13/V4</f>
        <v>1.1904761904761904E-2</v>
      </c>
      <c r="W46" s="28">
        <f t="shared" si="52"/>
        <v>3.2388663967611336E-2</v>
      </c>
      <c r="X46" s="28">
        <f t="shared" si="52"/>
        <v>3.0226700251889164E-2</v>
      </c>
      <c r="Y46" s="28">
        <f t="shared" si="52"/>
        <v>5.000000000000001E-2</v>
      </c>
      <c r="Z46" s="28">
        <f t="shared" si="52"/>
        <v>0</v>
      </c>
      <c r="AA46" s="1"/>
    </row>
  </sheetData>
  <mergeCells count="2">
    <mergeCell ref="A6:A13"/>
    <mergeCell ref="A14:A2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149D4-FD69-4116-9AB3-2C557DCA95BF}">
  <sheetPr codeName="Planilha39"/>
  <dimension ref="A3:AJ46"/>
  <sheetViews>
    <sheetView workbookViewId="0">
      <pane xSplit="3" ySplit="3" topLeftCell="T4" activePane="bottomRight" state="frozen"/>
      <selection activeCell="C22" sqref="C22"/>
      <selection pane="topRight" activeCell="C22" sqref="C22"/>
      <selection pane="bottomLeft" activeCell="C22" sqref="C22"/>
      <selection pane="bottomRight" activeCell="AF46" sqref="AF46:AJ46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2" width="8.33203125" customWidth="1"/>
  </cols>
  <sheetData>
    <row r="3" spans="1:36" s="10" customFormat="1" x14ac:dyDescent="0.3">
      <c r="A3" s="9" t="s">
        <v>25</v>
      </c>
      <c r="B3" s="8" t="s">
        <v>23</v>
      </c>
      <c r="C3" s="9" t="s">
        <v>24</v>
      </c>
      <c r="D3" s="8">
        <v>93</v>
      </c>
      <c r="E3" s="8">
        <v>94</v>
      </c>
      <c r="F3" s="8">
        <v>95</v>
      </c>
      <c r="G3" s="8">
        <v>96</v>
      </c>
      <c r="H3" s="8">
        <v>97</v>
      </c>
      <c r="I3" s="8">
        <v>98</v>
      </c>
      <c r="J3" s="8">
        <v>99</v>
      </c>
      <c r="K3" s="8">
        <v>2000</v>
      </c>
      <c r="L3" s="8">
        <v>1</v>
      </c>
      <c r="M3" s="8">
        <v>2</v>
      </c>
      <c r="N3" s="8">
        <v>3</v>
      </c>
      <c r="O3" s="8">
        <v>4</v>
      </c>
      <c r="P3" s="8">
        <v>5</v>
      </c>
      <c r="Q3" s="8">
        <v>6</v>
      </c>
      <c r="R3" s="8">
        <v>7</v>
      </c>
      <c r="S3" s="8">
        <v>8</v>
      </c>
      <c r="T3" s="8">
        <v>9</v>
      </c>
      <c r="U3" s="8">
        <v>10</v>
      </c>
      <c r="V3" s="8">
        <v>11</v>
      </c>
      <c r="W3" s="8">
        <v>12</v>
      </c>
      <c r="X3" s="8">
        <v>13</v>
      </c>
      <c r="Y3" s="8">
        <v>14</v>
      </c>
      <c r="Z3" s="8">
        <v>15</v>
      </c>
      <c r="AA3" s="8">
        <v>16</v>
      </c>
      <c r="AB3" s="8">
        <v>17</v>
      </c>
      <c r="AC3" s="8">
        <v>18</v>
      </c>
      <c r="AD3" s="8">
        <v>19</v>
      </c>
      <c r="AE3" s="8">
        <v>20</v>
      </c>
      <c r="AF3" s="8" t="s">
        <v>3</v>
      </c>
      <c r="AG3" s="8" t="s">
        <v>94</v>
      </c>
      <c r="AH3" s="8" t="s">
        <v>116</v>
      </c>
      <c r="AI3" s="8" t="s">
        <v>117</v>
      </c>
      <c r="AJ3" s="8" t="s">
        <v>118</v>
      </c>
    </row>
    <row r="4" spans="1:36" x14ac:dyDescent="0.3">
      <c r="A4" s="4" t="s">
        <v>5</v>
      </c>
      <c r="B4" s="11">
        <v>1</v>
      </c>
      <c r="C4" s="6" t="s">
        <v>4</v>
      </c>
      <c r="D4" s="19">
        <v>0.32</v>
      </c>
      <c r="E4" s="19">
        <v>0.498</v>
      </c>
      <c r="F4" s="19">
        <v>0.435</v>
      </c>
      <c r="G4" s="19">
        <v>0.66800000000000004</v>
      </c>
      <c r="H4" s="19">
        <v>1.012</v>
      </c>
      <c r="I4" s="19">
        <v>1.129</v>
      </c>
      <c r="J4" s="19">
        <v>1.429</v>
      </c>
      <c r="K4" s="19">
        <v>0.747</v>
      </c>
      <c r="L4" s="19">
        <v>0.504</v>
      </c>
      <c r="M4" s="19">
        <v>0.249</v>
      </c>
      <c r="N4" s="19">
        <v>0.41099999999999998</v>
      </c>
      <c r="O4" s="19">
        <v>0.66600000000000004</v>
      </c>
      <c r="P4" s="19">
        <v>1.032</v>
      </c>
      <c r="Q4" s="19">
        <v>1.32</v>
      </c>
      <c r="R4" s="19">
        <v>1.7310000000000001</v>
      </c>
      <c r="S4" s="19">
        <v>0.437</v>
      </c>
      <c r="T4" s="19">
        <v>0.87</v>
      </c>
      <c r="U4" s="19">
        <v>0.78</v>
      </c>
      <c r="V4" s="19">
        <v>0.45900000000000002</v>
      </c>
      <c r="W4" s="19">
        <v>0.68700000000000006</v>
      </c>
      <c r="X4" s="19">
        <v>1.0489999999999999</v>
      </c>
      <c r="Y4" s="19">
        <v>1.024</v>
      </c>
      <c r="Z4" s="19">
        <v>1.048</v>
      </c>
      <c r="AA4" s="19">
        <v>0.874</v>
      </c>
      <c r="AB4" s="19">
        <v>1.1259999999999999</v>
      </c>
      <c r="AC4" s="19">
        <v>0.81</v>
      </c>
      <c r="AD4" s="19">
        <v>0.91</v>
      </c>
      <c r="AE4" s="19">
        <v>0.66149999999999998</v>
      </c>
      <c r="AF4" s="19">
        <v>1.0029999999999999</v>
      </c>
      <c r="AG4" s="19">
        <v>1.02</v>
      </c>
      <c r="AH4" s="19">
        <v>1.02</v>
      </c>
      <c r="AI4" s="19">
        <v>1.02</v>
      </c>
      <c r="AJ4" s="19">
        <v>1.02</v>
      </c>
    </row>
    <row r="5" spans="1:36" x14ac:dyDescent="0.3">
      <c r="A5" s="5" t="s">
        <v>8</v>
      </c>
      <c r="B5" s="12">
        <v>3</v>
      </c>
      <c r="C5" s="1" t="s">
        <v>86</v>
      </c>
      <c r="D5" s="3"/>
      <c r="E5" s="3">
        <v>1384</v>
      </c>
      <c r="F5" s="3">
        <v>1374</v>
      </c>
      <c r="G5" s="3">
        <v>1350</v>
      </c>
      <c r="H5" s="3">
        <v>1350</v>
      </c>
      <c r="I5" s="3">
        <v>1360</v>
      </c>
      <c r="J5" s="3">
        <v>2524</v>
      </c>
      <c r="K5" s="3">
        <v>2657</v>
      </c>
      <c r="L5" s="3">
        <v>2641</v>
      </c>
      <c r="M5" s="3">
        <v>2622</v>
      </c>
      <c r="N5" s="3">
        <v>2622</v>
      </c>
      <c r="O5" s="3">
        <v>2622</v>
      </c>
      <c r="P5" s="3">
        <v>1866</v>
      </c>
      <c r="Q5" s="3">
        <v>1861</v>
      </c>
      <c r="R5" s="3">
        <v>1867</v>
      </c>
      <c r="S5" s="3">
        <v>2000</v>
      </c>
      <c r="T5" s="3">
        <v>2000</v>
      </c>
      <c r="U5" s="3">
        <v>1877</v>
      </c>
      <c r="V5" s="3">
        <v>1881</v>
      </c>
      <c r="W5" s="3">
        <v>1873</v>
      </c>
      <c r="X5" s="3">
        <v>1877</v>
      </c>
      <c r="Y5" s="3">
        <v>1961</v>
      </c>
      <c r="Z5" s="3">
        <v>1877</v>
      </c>
      <c r="AA5" s="3">
        <v>2022</v>
      </c>
      <c r="AB5" s="3">
        <v>2030</v>
      </c>
      <c r="AC5" s="3">
        <v>2034</v>
      </c>
      <c r="AD5" s="3">
        <v>2035</v>
      </c>
      <c r="AE5" s="3">
        <v>2044</v>
      </c>
      <c r="AF5" s="3">
        <v>2000</v>
      </c>
      <c r="AG5" s="3">
        <v>2000</v>
      </c>
      <c r="AH5" s="3">
        <v>2000</v>
      </c>
      <c r="AI5" s="3">
        <v>2000</v>
      </c>
      <c r="AJ5" s="3">
        <v>2000</v>
      </c>
    </row>
    <row r="6" spans="1:36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/>
      <c r="I6" s="7">
        <f>(501525.497*5)/1000</f>
        <v>2507.627485</v>
      </c>
      <c r="J6" s="7">
        <f>(865849.885*5)/1000</f>
        <v>4329.249425</v>
      </c>
      <c r="K6" s="7">
        <f>6119074412/1000000</f>
        <v>6119.0744119999999</v>
      </c>
      <c r="L6" s="7">
        <f>6822685171/1000000</f>
        <v>6822.6851710000001</v>
      </c>
      <c r="M6" s="7">
        <f>6275663.405/1000</f>
        <v>6275.6634050000002</v>
      </c>
      <c r="N6" s="7">
        <f>6259715.715/1000</f>
        <v>6259.7157150000003</v>
      </c>
      <c r="O6" s="7">
        <f>7020400601/1000000</f>
        <v>7020.4006010000003</v>
      </c>
      <c r="P6" s="7">
        <f>7174363067/1000000</f>
        <v>7174.3630670000002</v>
      </c>
      <c r="Q6" s="7">
        <f>4936645680/1000000</f>
        <v>4936.6456799999996</v>
      </c>
      <c r="R6" s="7">
        <f>5217184279/1000000</f>
        <v>5217.1842790000001</v>
      </c>
      <c r="S6" s="7">
        <f>(4168562332+1184541613)/1000000</f>
        <v>5353.1039449999998</v>
      </c>
      <c r="T6" s="7">
        <f>(4549719919+1115457155)/1000000</f>
        <v>5665.1770740000002</v>
      </c>
      <c r="U6" s="7">
        <f>(4768834447+1076452124)/1000000</f>
        <v>5845.2865709999996</v>
      </c>
      <c r="V6" s="7">
        <f>(4677553223+1060600768)/1000000</f>
        <v>5738.1539910000001</v>
      </c>
      <c r="W6" s="7">
        <f>(4523123228+146664218)/1000000</f>
        <v>4669.7874460000003</v>
      </c>
      <c r="X6" s="7">
        <f>(4655760619+165580722)/1000000</f>
        <v>4821.3413410000003</v>
      </c>
      <c r="Y6" s="7">
        <f>(4795621661+178504839)/1000000</f>
        <v>4974.1265000000003</v>
      </c>
      <c r="Z6" s="7">
        <f>(4825931588+188311035)/1000000</f>
        <v>5014.2426230000001</v>
      </c>
      <c r="AA6" s="7">
        <v>5376</v>
      </c>
      <c r="AB6" s="7">
        <f>(5515425881+194726055)/1000000</f>
        <v>5710.1519360000002</v>
      </c>
      <c r="AC6" s="7">
        <v>5951</v>
      </c>
      <c r="AD6" s="7">
        <v>6052</v>
      </c>
      <c r="AE6" s="67">
        <v>6827</v>
      </c>
      <c r="AF6" s="67">
        <v>6841</v>
      </c>
      <c r="AG6" s="3">
        <v>7119</v>
      </c>
      <c r="AH6" s="3">
        <v>7343</v>
      </c>
      <c r="AI6" s="3">
        <v>7750</v>
      </c>
      <c r="AJ6" s="3">
        <v>7978</v>
      </c>
    </row>
    <row r="7" spans="1:36" x14ac:dyDescent="0.3">
      <c r="A7" s="101"/>
      <c r="B7" s="13">
        <v>5</v>
      </c>
      <c r="C7" s="1" t="s">
        <v>9</v>
      </c>
      <c r="D7" s="3"/>
      <c r="E7" s="3"/>
      <c r="F7" s="3"/>
      <c r="G7" s="3"/>
      <c r="H7" s="3"/>
      <c r="I7" s="3">
        <f>I8+(14613.969*5/1000)</f>
        <v>201.85986500000001</v>
      </c>
      <c r="J7" s="3">
        <f>J8+(38726.827*5/1000)</f>
        <v>341.69685500000003</v>
      </c>
      <c r="K7" s="3">
        <f>K8+(47582/1000000)</f>
        <v>203.681725</v>
      </c>
      <c r="L7" s="3">
        <f>L8+(921540/1000000)</f>
        <v>227.468703</v>
      </c>
      <c r="M7" s="3">
        <f>M8+376520.959/1000</f>
        <v>566.04505799999993</v>
      </c>
      <c r="N7" s="3">
        <f>N8+381968.76/1000</f>
        <v>557.59377100000006</v>
      </c>
      <c r="O7" s="3">
        <f>O8+326588.092/1000</f>
        <v>919.99856100000011</v>
      </c>
      <c r="P7" s="3">
        <f>P8+(309352.041/1000)</f>
        <v>927.40795700000012</v>
      </c>
      <c r="Q7" s="3">
        <f>Q8+(226775.45/1000)</f>
        <v>341.11393600000002</v>
      </c>
      <c r="R7" s="3">
        <f>R8+(234952.13/1000)</f>
        <v>372.33272799999997</v>
      </c>
      <c r="S7" s="3">
        <v>620</v>
      </c>
      <c r="T7" s="3">
        <v>667</v>
      </c>
      <c r="U7" s="3">
        <f>728951937/1000000</f>
        <v>728.95193700000004</v>
      </c>
      <c r="V7" s="3">
        <f>670992587/1000000</f>
        <v>670.99258699999996</v>
      </c>
      <c r="W7" s="3">
        <f>330435265/1000000</f>
        <v>330.43526500000002</v>
      </c>
      <c r="X7" s="3">
        <f>377564113/1000000</f>
        <v>377.56411300000002</v>
      </c>
      <c r="Y7" s="3">
        <v>417</v>
      </c>
      <c r="Z7" s="3">
        <v>393</v>
      </c>
      <c r="AA7" s="3">
        <v>320</v>
      </c>
      <c r="AB7" s="3">
        <v>395.93</v>
      </c>
      <c r="AC7" s="3">
        <v>381</v>
      </c>
      <c r="AD7" s="3">
        <v>695</v>
      </c>
      <c r="AE7" s="66">
        <v>631</v>
      </c>
      <c r="AF7" s="66">
        <v>602.1</v>
      </c>
      <c r="AG7" s="3">
        <v>650.98</v>
      </c>
      <c r="AH7" s="3">
        <v>669.61</v>
      </c>
      <c r="AI7" s="3">
        <v>737</v>
      </c>
      <c r="AJ7" s="3">
        <v>770</v>
      </c>
    </row>
    <row r="8" spans="1:36" x14ac:dyDescent="0.3">
      <c r="A8" s="101"/>
      <c r="B8" s="13">
        <v>6</v>
      </c>
      <c r="C8" s="6" t="s">
        <v>10</v>
      </c>
      <c r="D8" s="7"/>
      <c r="E8" s="7"/>
      <c r="F8" s="7"/>
      <c r="G8" s="7"/>
      <c r="H8" s="7"/>
      <c r="I8" s="7">
        <f>(25758.004*5)/1000</f>
        <v>128.79002</v>
      </c>
      <c r="J8" s="7">
        <f>(29612.544*5)/1000</f>
        <v>148.06272000000001</v>
      </c>
      <c r="K8" s="7">
        <f>203634143/1000000</f>
        <v>203.63414299999999</v>
      </c>
      <c r="L8" s="7">
        <f>226547163/1000000</f>
        <v>226.54716300000001</v>
      </c>
      <c r="M8" s="7">
        <f>189524.099/1000</f>
        <v>189.52409899999998</v>
      </c>
      <c r="N8" s="7">
        <f>175625.011/1000</f>
        <v>175.625011</v>
      </c>
      <c r="O8" s="7">
        <f>593410469/1000000</f>
        <v>593.41046900000003</v>
      </c>
      <c r="P8" s="7">
        <f>618055916/1000000</f>
        <v>618.05591600000002</v>
      </c>
      <c r="Q8" s="7">
        <f>114338486/1000000</f>
        <v>114.338486</v>
      </c>
      <c r="R8" s="7">
        <f>137380598/1000000</f>
        <v>137.38059799999999</v>
      </c>
      <c r="S8" s="7">
        <v>332</v>
      </c>
      <c r="T8" s="7">
        <v>349</v>
      </c>
      <c r="U8" s="7">
        <f>409251755/1000000</f>
        <v>409.251755</v>
      </c>
      <c r="V8" s="7">
        <f>321666676/1000000</f>
        <v>321.666676</v>
      </c>
      <c r="W8" s="7">
        <f>260257064/1000000</f>
        <v>260.25706400000001</v>
      </c>
      <c r="X8" s="7">
        <f>286379699/1000000</f>
        <v>286.37969900000002</v>
      </c>
      <c r="Y8" s="7">
        <v>228</v>
      </c>
      <c r="Z8" s="7">
        <v>206</v>
      </c>
      <c r="AA8" s="7">
        <v>213</v>
      </c>
      <c r="AB8" s="7">
        <v>181.88</v>
      </c>
      <c r="AC8" s="7">
        <v>258</v>
      </c>
      <c r="AD8" s="7">
        <v>209.96</v>
      </c>
      <c r="AE8" s="67">
        <v>216</v>
      </c>
      <c r="AF8" s="67">
        <v>303.45999999999998</v>
      </c>
      <c r="AG8" s="3">
        <v>362.97</v>
      </c>
      <c r="AH8" s="3">
        <v>383.32</v>
      </c>
      <c r="AI8" s="3">
        <v>437</v>
      </c>
      <c r="AJ8" s="3">
        <v>464</v>
      </c>
    </row>
    <row r="9" spans="1:36" x14ac:dyDescent="0.3">
      <c r="A9" s="101"/>
      <c r="B9" s="13">
        <v>11</v>
      </c>
      <c r="C9" s="1" t="s">
        <v>11</v>
      </c>
      <c r="D9" s="3"/>
      <c r="E9" s="3"/>
      <c r="F9" s="3"/>
      <c r="G9" s="3"/>
      <c r="H9" s="3"/>
      <c r="I9" s="3">
        <f>(-3957.068*5)/1000</f>
        <v>-19.785340000000001</v>
      </c>
      <c r="J9" s="3">
        <f>(-14820.077*5)/1000</f>
        <v>-74.100384999999989</v>
      </c>
      <c r="K9" s="3">
        <f>-130351.962/1000</f>
        <v>-130.35196199999999</v>
      </c>
      <c r="L9" s="3">
        <f>-190453.573/1000</f>
        <v>-190.45357300000001</v>
      </c>
      <c r="M9" s="3">
        <f>-253354.617/1000</f>
        <v>-253.35461699999999</v>
      </c>
      <c r="N9" s="3">
        <f>-228799.88/1000</f>
        <v>-228.79988</v>
      </c>
      <c r="O9" s="3">
        <f>-200555555/1000000</f>
        <v>-200.555555</v>
      </c>
      <c r="P9" s="3">
        <f>-153362424/1000000</f>
        <v>-153.362424</v>
      </c>
      <c r="Q9" s="3">
        <f>99534053/1000000</f>
        <v>99.534053</v>
      </c>
      <c r="R9" s="3">
        <f>-124193129/1000000</f>
        <v>-124.193129</v>
      </c>
      <c r="S9" s="3">
        <v>-174</v>
      </c>
      <c r="T9" s="3">
        <v>-123</v>
      </c>
      <c r="U9" s="3">
        <v>-107</v>
      </c>
      <c r="V9" s="3">
        <v>-106</v>
      </c>
      <c r="W9" s="3">
        <f>-94180573/1000000</f>
        <v>-94.180572999999995</v>
      </c>
      <c r="X9" s="3">
        <f>-81817786/1000000</f>
        <v>-81.817785999999998</v>
      </c>
      <c r="Y9" s="3">
        <v>-77</v>
      </c>
      <c r="Z9" s="3">
        <v>-57</v>
      </c>
      <c r="AA9" s="3">
        <v>-52.66</v>
      </c>
      <c r="AB9" s="3">
        <v>-36.020000000000003</v>
      </c>
      <c r="AC9" s="3">
        <v>-36</v>
      </c>
      <c r="AD9" s="3">
        <v>-102.97</v>
      </c>
      <c r="AE9" s="66">
        <v>-98.05</v>
      </c>
      <c r="AF9" s="66">
        <v>-91.33</v>
      </c>
      <c r="AG9" s="3">
        <v>-102</v>
      </c>
      <c r="AH9" s="3">
        <v>-98.33</v>
      </c>
      <c r="AI9" s="3">
        <v>-95</v>
      </c>
      <c r="AJ9" s="3">
        <v>-90</v>
      </c>
    </row>
    <row r="10" spans="1:36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/>
      <c r="I10" s="7">
        <f>(27798.011*5)/1000</f>
        <v>138.99005499999998</v>
      </c>
      <c r="J10" s="7">
        <f>(29321.066*5)/1000</f>
        <v>146.60532999999998</v>
      </c>
      <c r="K10" s="7">
        <f>338221.898/1000</f>
        <v>338.22189800000001</v>
      </c>
      <c r="L10" s="7">
        <f>87609.89/1000</f>
        <v>87.609889999999993</v>
      </c>
      <c r="M10" s="7">
        <f>53825.819/1000</f>
        <v>53.825819000000003</v>
      </c>
      <c r="N10" s="7">
        <f>313575.821/1000</f>
        <v>313.57582100000002</v>
      </c>
      <c r="O10" s="7">
        <f>524613822/1000000</f>
        <v>524.61382200000003</v>
      </c>
      <c r="P10" s="7">
        <f>768032393/1000000</f>
        <v>768.03239299999996</v>
      </c>
      <c r="Q10" s="7">
        <f>403635472/1000000</f>
        <v>403.63547199999999</v>
      </c>
      <c r="R10" s="7">
        <f>383489370/1000000</f>
        <v>383.48937000000001</v>
      </c>
      <c r="S10" s="7">
        <f>26431832/1000000</f>
        <v>26.431832</v>
      </c>
      <c r="T10" s="7">
        <f>85457092/1000000</f>
        <v>85.457092000000003</v>
      </c>
      <c r="U10" s="7">
        <f>298021416/1000000</f>
        <v>298.02141599999999</v>
      </c>
      <c r="V10" s="7">
        <f>175596653/1000000</f>
        <v>175.596653</v>
      </c>
      <c r="W10" s="7">
        <f>-6780072/1000000</f>
        <v>-6.7800719999999997</v>
      </c>
      <c r="X10" s="7">
        <f>-33923843/1000000</f>
        <v>-33.923842999999998</v>
      </c>
      <c r="Y10" s="7">
        <f>170174289/1000000</f>
        <v>170.17428899999999</v>
      </c>
      <c r="Z10" s="7">
        <f>197695550/1000000</f>
        <v>197.69555</v>
      </c>
      <c r="AA10" s="7">
        <v>167</v>
      </c>
      <c r="AB10" s="7">
        <v>172.22</v>
      </c>
      <c r="AC10" s="7">
        <v>222</v>
      </c>
      <c r="AD10" s="7">
        <v>234.68</v>
      </c>
      <c r="AE10" s="67">
        <v>60.66</v>
      </c>
      <c r="AF10" s="67">
        <v>188.69</v>
      </c>
      <c r="AG10" s="3">
        <v>250.35</v>
      </c>
      <c r="AH10" s="3">
        <v>284.98</v>
      </c>
      <c r="AI10" s="3">
        <v>343</v>
      </c>
      <c r="AJ10" s="3">
        <v>373</v>
      </c>
    </row>
    <row r="11" spans="1:36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/>
      <c r="I11" s="3">
        <f>(6340.221*5)/1000</f>
        <v>31.701104999999995</v>
      </c>
      <c r="J11" s="3">
        <f>(5842.615*5)/1000</f>
        <v>29.213074999999996</v>
      </c>
      <c r="K11" s="3">
        <f>58766.883/1000</f>
        <v>58.766883</v>
      </c>
      <c r="L11" s="3">
        <f>18081.004/1000</f>
        <v>18.081004</v>
      </c>
      <c r="M11" s="3">
        <f>43359.788/1000</f>
        <v>43.359788000000002</v>
      </c>
      <c r="N11" s="3">
        <f>42644.345/1000</f>
        <v>42.644345000000001</v>
      </c>
      <c r="O11" s="3">
        <f>108731237/1000000</f>
        <v>108.73123699999999</v>
      </c>
      <c r="P11" s="3">
        <f>119840388/1000000</f>
        <v>119.840388</v>
      </c>
      <c r="Q11" s="3">
        <f>64957395/1000000</f>
        <v>64.957395000000005</v>
      </c>
      <c r="R11" s="25">
        <f>26775288/1000000</f>
        <v>26.775288</v>
      </c>
      <c r="S11" s="3">
        <f>-12646440/1000000</f>
        <v>-12.64644</v>
      </c>
      <c r="T11" s="3">
        <f>11836862/1000000</f>
        <v>11.836862</v>
      </c>
      <c r="U11" s="3">
        <f>98554823/1000000</f>
        <v>98.554822999999999</v>
      </c>
      <c r="V11" s="3">
        <f>36781076/1000000</f>
        <v>36.781075999999999</v>
      </c>
      <c r="W11" s="3">
        <f>22361579/1000000</f>
        <v>22.361578999999999</v>
      </c>
      <c r="X11" s="3">
        <f>15909211/1000000</f>
        <v>15.909211000000001</v>
      </c>
      <c r="Y11" s="3">
        <f>24660421/1000000</f>
        <v>24.660420999999999</v>
      </c>
      <c r="Z11" s="3">
        <f>20919599/1000000</f>
        <v>20.919599000000002</v>
      </c>
      <c r="AA11" s="3">
        <v>19</v>
      </c>
      <c r="AB11" s="3">
        <v>16.12</v>
      </c>
      <c r="AC11" s="3">
        <v>14</v>
      </c>
      <c r="AD11" s="3">
        <v>18.5</v>
      </c>
      <c r="AE11" s="66">
        <v>4.4530000000000003</v>
      </c>
      <c r="AF11" s="66">
        <v>28.33</v>
      </c>
      <c r="AG11" s="3">
        <v>58.33</v>
      </c>
      <c r="AH11" s="3">
        <v>62.33</v>
      </c>
      <c r="AI11" s="3">
        <v>60</v>
      </c>
      <c r="AJ11" s="3">
        <v>68</v>
      </c>
    </row>
    <row r="12" spans="1:36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/>
      <c r="I12" s="7">
        <f>(14206.859*5)/1000</f>
        <v>71.034295</v>
      </c>
      <c r="J12" s="7">
        <f>(13414.631*5)/1000</f>
        <v>67.073155</v>
      </c>
      <c r="K12" s="7">
        <f>255706175/1000000</f>
        <v>255.706175</v>
      </c>
      <c r="L12" s="7">
        <f>55029659/1000000</f>
        <v>55.029659000000002</v>
      </c>
      <c r="M12" s="7">
        <f>-56026.746/1000</f>
        <v>-56.026745999999996</v>
      </c>
      <c r="N12" s="7">
        <f>114458.914/1000</f>
        <v>114.45891400000001</v>
      </c>
      <c r="O12" s="7">
        <f>415882585/1000000</f>
        <v>415.88258500000001</v>
      </c>
      <c r="P12" s="7">
        <f>648192005/1000000</f>
        <v>648.19200499999999</v>
      </c>
      <c r="Q12" s="7">
        <f>338678077/1000000</f>
        <v>338.67807699999997</v>
      </c>
      <c r="R12" s="7">
        <f>356714082/1000000</f>
        <v>356.71408200000002</v>
      </c>
      <c r="S12" s="7">
        <f>39078272/1000000</f>
        <v>39.078271999999998</v>
      </c>
      <c r="T12" s="7">
        <f>73620230/1000000</f>
        <v>73.620230000000006</v>
      </c>
      <c r="U12" s="7">
        <f>199466593/1000000</f>
        <v>199.46659299999999</v>
      </c>
      <c r="V12" s="7">
        <f>138815577/1000000</f>
        <v>138.81557699999999</v>
      </c>
      <c r="W12" s="7">
        <f>71690383/1000000</f>
        <v>71.690382999999997</v>
      </c>
      <c r="X12" s="7">
        <f>464020285/1000000</f>
        <v>464.020285</v>
      </c>
      <c r="Y12" s="7">
        <f>145513868/1000000</f>
        <v>145.513868</v>
      </c>
      <c r="Z12" s="7">
        <f>176775951/1000000</f>
        <v>176.77595099999999</v>
      </c>
      <c r="AA12" s="7">
        <v>215</v>
      </c>
      <c r="AB12" s="7">
        <v>165.75</v>
      </c>
      <c r="AC12" s="7">
        <v>221.65</v>
      </c>
      <c r="AD12" s="7">
        <v>149.4</v>
      </c>
      <c r="AE12" s="67">
        <v>71</v>
      </c>
      <c r="AF12" s="67">
        <v>159.25</v>
      </c>
      <c r="AG12" s="3">
        <v>179.85</v>
      </c>
      <c r="AH12" s="3">
        <v>202.59</v>
      </c>
      <c r="AI12" s="3">
        <v>230</v>
      </c>
      <c r="AJ12" s="3">
        <v>248</v>
      </c>
    </row>
    <row r="13" spans="1:36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3"/>
      <c r="I13" s="22">
        <f>(9120.206*5/1000)/I5</f>
        <v>3.3530169117647057E-2</v>
      </c>
      <c r="J13" s="22">
        <f>(9875.205*5/1000)/J5</f>
        <v>1.9562608954041202E-2</v>
      </c>
      <c r="K13" s="22">
        <f>(49931196/1000000)/K5</f>
        <v>1.8792320662401205E-2</v>
      </c>
      <c r="L13" s="22">
        <f>(59511710/1000000)/L5</f>
        <v>2.2533778871639532E-2</v>
      </c>
      <c r="M13" s="22">
        <f>(13632622/1000000)/M5</f>
        <v>5.1993218916857363E-3</v>
      </c>
      <c r="N13" s="22">
        <f>(6466539/1000000)/N5</f>
        <v>2.4662620137299771E-3</v>
      </c>
      <c r="O13" s="22">
        <f>(40311213/1000000)/O5</f>
        <v>1.5374223112128148E-2</v>
      </c>
      <c r="P13" s="22">
        <f>(50109699/1000000)/P5</f>
        <v>2.6854072347266882E-2</v>
      </c>
      <c r="Q13" s="22">
        <f>(52348839/1000000)/R5</f>
        <v>2.8039013926084627E-2</v>
      </c>
      <c r="R13" s="22">
        <f>(78435064/1000000)/Q5</f>
        <v>4.2146729715206874E-2</v>
      </c>
      <c r="S13" s="22">
        <f>(62326616/1000000)/S5</f>
        <v>3.1163308000000001E-2</v>
      </c>
      <c r="T13" s="22">
        <f>(60422373/1000000)/T5</f>
        <v>3.0211186500000001E-2</v>
      </c>
      <c r="U13" s="22">
        <f>(68910854/1000000)/U5</f>
        <v>3.6713294619072988E-2</v>
      </c>
      <c r="V13" s="22">
        <f>(76623502/1000000)/V5</f>
        <v>4.0735514088250935E-2</v>
      </c>
      <c r="W13" s="22">
        <f>(83878895/1000000)/W5</f>
        <v>4.4783179391350778E-2</v>
      </c>
      <c r="X13" s="22">
        <f>(88553383/1000000)/X5</f>
        <v>4.7178147575919017E-2</v>
      </c>
      <c r="Y13" s="22">
        <f>(71564160/1000000)/Y5</f>
        <v>3.6493707292197856E-2</v>
      </c>
      <c r="Z13" s="22">
        <f>(152941623/1000000)/Z5</f>
        <v>8.1481951518380391E-2</v>
      </c>
      <c r="AA13" s="22">
        <f>(2687653/1000000)/AA5</f>
        <v>1.3292052423343225E-3</v>
      </c>
      <c r="AB13" s="22">
        <f>(79736296/1000000)/AB5</f>
        <v>3.9278963546798031E-2</v>
      </c>
      <c r="AC13" s="22">
        <v>0.04</v>
      </c>
      <c r="AD13" s="22">
        <v>0.04</v>
      </c>
      <c r="AE13" s="68">
        <v>0.05</v>
      </c>
      <c r="AF13" s="68">
        <v>0.05</v>
      </c>
      <c r="AG13" s="68">
        <v>0.05</v>
      </c>
      <c r="AH13" s="68">
        <v>0.05</v>
      </c>
      <c r="AI13" s="68">
        <v>0.05</v>
      </c>
      <c r="AJ13" s="68">
        <v>0.05</v>
      </c>
    </row>
    <row r="14" spans="1:36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/>
      <c r="I14" s="7">
        <f>(24671.4*5)/1000</f>
        <v>123.357</v>
      </c>
      <c r="J14" s="7">
        <f>(20908.293*5)/1000</f>
        <v>104.54146500000002</v>
      </c>
      <c r="K14" s="7">
        <f>123827.61/1000</f>
        <v>123.82761000000001</v>
      </c>
      <c r="L14" s="7">
        <f>263258.945/1000</f>
        <v>263.25894499999998</v>
      </c>
      <c r="M14" s="7">
        <f>508440683/1000000</f>
        <v>508.44068299999998</v>
      </c>
      <c r="N14" s="7">
        <f>524602404/1000000</f>
        <v>524.60240399999998</v>
      </c>
      <c r="O14" s="7">
        <f>461477652/1000000</f>
        <v>461.47765199999998</v>
      </c>
      <c r="P14" s="7">
        <f>893621051/1000000</f>
        <v>893.62105099999997</v>
      </c>
      <c r="Q14" s="7">
        <f>648811274/1000000</f>
        <v>648.81127400000003</v>
      </c>
      <c r="R14" s="7">
        <f>640915658/1000000</f>
        <v>640.91565800000001</v>
      </c>
      <c r="S14" s="7">
        <f>142965988/1000000</f>
        <v>142.96598800000001</v>
      </c>
      <c r="T14" s="7">
        <f>148466253/1000000</f>
        <v>148.46625299999999</v>
      </c>
      <c r="U14" s="7">
        <f>237473933/1000000</f>
        <v>237.47393299999999</v>
      </c>
      <c r="V14" s="7">
        <f>488882248/1000000</f>
        <v>488.882248</v>
      </c>
      <c r="W14" s="7">
        <f>363367909/1000000</f>
        <v>363.367909</v>
      </c>
      <c r="X14" s="7">
        <f>365869456/1000000</f>
        <v>365.86945600000001</v>
      </c>
      <c r="Y14" s="7">
        <f>588271612/1000000</f>
        <v>588.271612</v>
      </c>
      <c r="Z14" s="7">
        <v>362.7</v>
      </c>
      <c r="AA14" s="7">
        <v>341.1</v>
      </c>
      <c r="AB14" s="7">
        <v>364.6</v>
      </c>
      <c r="AC14" s="7">
        <v>696.2</v>
      </c>
      <c r="AD14" s="67">
        <v>609.79999999999995</v>
      </c>
      <c r="AE14" s="67">
        <v>763.3</v>
      </c>
      <c r="AF14" s="3">
        <v>774.3</v>
      </c>
      <c r="AG14" s="3"/>
      <c r="AH14" s="3"/>
      <c r="AI14" s="3"/>
      <c r="AJ14" s="3"/>
    </row>
    <row r="15" spans="1:36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/>
      <c r="I15" s="3">
        <f>(81302.347+15161.299+4083.298+17500+49254.386)*5/1000</f>
        <v>836.50664999999992</v>
      </c>
      <c r="J15" s="3">
        <f>(2159.699+104799.1+258350.233+4708.65+94.296+10500+123961.256+3057.675)*5/1000</f>
        <v>2538.1545449999999</v>
      </c>
      <c r="K15" s="3">
        <f>(430745.874+1540944.731+17870.524+25157.84+597310.663+9521.358)/1000</f>
        <v>2621.5509900000002</v>
      </c>
      <c r="L15" s="3">
        <f>(399216326+2003336586+122808878+41195529+1333393658+12689616)/1000000</f>
        <v>3912.6405930000001</v>
      </c>
      <c r="M15" s="3">
        <f>(307299173+2219386164+162084537+82706573+1160143104+991519)/1000000</f>
        <v>3932.6110699999999</v>
      </c>
      <c r="N15" s="3">
        <f>(263112252+1620841607+190808990+115669209+103367842+1690514)/1000000</f>
        <v>2295.4904139999999</v>
      </c>
      <c r="O15" s="3">
        <f>(1825940672+431782099+40779698+799233363+35078955+11439067)/1000000</f>
        <v>3144.253854</v>
      </c>
      <c r="P15" s="3">
        <f>(892835901+910949438+36194019+591695025+89725193+11030610)/1000000</f>
        <v>2532.430186</v>
      </c>
      <c r="Q15" s="3">
        <f>(1017101563+1086979932+31124322+510050999+74777292+9279339)/1000000</f>
        <v>2729.313447</v>
      </c>
      <c r="R15" s="3">
        <f>(935973005+1086979932+12611464+453902932+74777292+6370786)/1000000</f>
        <v>2570.6154110000002</v>
      </c>
      <c r="S15" s="3">
        <f>(1281262524+1684214319+28701579+258905967+99930567+5829172)/1000000</f>
        <v>3358.8441280000002</v>
      </c>
      <c r="T15" s="3">
        <f>(1208324810+1671134222+29357393+232966928+64848660+7803032)/1000000</f>
        <v>3214.4350450000002</v>
      </c>
      <c r="U15" s="3">
        <f>(1127675560+1651984347+26468295+164752318+89500420+4932664)/1000000</f>
        <v>3065.3136039999999</v>
      </c>
      <c r="V15" s="3">
        <f>(1098944307+1386872500+30516314+271242900+365798809+365798809+7178809)/1000000</f>
        <v>3526.3524480000001</v>
      </c>
      <c r="W15" s="3">
        <f>(364137659+1287944455+27593734+65557681+450820688+7037038)/1000000</f>
        <v>2203.0912549999998</v>
      </c>
      <c r="X15" s="3">
        <f>(24163840+1113399900+7980489+65791907+159962358+4314843)/1000000</f>
        <v>1375.613337</v>
      </c>
      <c r="Y15" s="3">
        <f>(241163840+1113399900+7980489+65791907+159962358+4134843)/1000000</f>
        <v>1592.4333369999999</v>
      </c>
      <c r="Z15" s="3">
        <v>1589</v>
      </c>
      <c r="AA15" s="3">
        <v>1571.1</v>
      </c>
      <c r="AB15" s="3">
        <v>1488.2</v>
      </c>
      <c r="AC15" s="3">
        <v>3156.2</v>
      </c>
      <c r="AD15" s="66">
        <v>2978.9</v>
      </c>
      <c r="AE15" s="66">
        <v>3091.9</v>
      </c>
      <c r="AF15" s="3">
        <v>2829.9</v>
      </c>
      <c r="AG15" s="3"/>
      <c r="AH15" s="3"/>
      <c r="AI15" s="3"/>
      <c r="AJ15" s="3"/>
    </row>
    <row r="16" spans="1:36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7"/>
      <c r="I16" s="7">
        <f>(49653.43*5)/1000</f>
        <v>248.26714999999999</v>
      </c>
      <c r="J16" s="7">
        <f>(123161.923*5)/1000</f>
        <v>615.80961500000001</v>
      </c>
      <c r="K16" s="7">
        <f>806148022/1000000</f>
        <v>806.14802199999997</v>
      </c>
      <c r="L16" s="7">
        <f>932012874/1000000</f>
        <v>932.01287400000001</v>
      </c>
      <c r="M16" s="7">
        <f>854121.993/1000</f>
        <v>854.12199299999997</v>
      </c>
      <c r="N16" s="7">
        <f>749664.275/1000</f>
        <v>749.66427499999998</v>
      </c>
      <c r="O16" s="7">
        <f>785515290/1000000</f>
        <v>785.51529000000005</v>
      </c>
      <c r="P16" s="7">
        <f>394707612/1000000</f>
        <v>394.70761199999998</v>
      </c>
      <c r="Q16" s="7">
        <f>402058314/1000000</f>
        <v>402.058314</v>
      </c>
      <c r="R16" s="7">
        <f>448320704/1000000</f>
        <v>448.32070399999998</v>
      </c>
      <c r="S16" s="7">
        <f>411549101/1000000</f>
        <v>411.54910100000001</v>
      </c>
      <c r="T16" s="7">
        <f>477968755/1000000</f>
        <v>477.96875499999999</v>
      </c>
      <c r="U16" s="7">
        <f>524088940/1000000</f>
        <v>524.08893999999998</v>
      </c>
      <c r="V16" s="7">
        <f>608126036/1000000</f>
        <v>608.126036</v>
      </c>
      <c r="W16" s="7">
        <f>349901121/1000000</f>
        <v>349.90112099999999</v>
      </c>
      <c r="X16" s="7">
        <f>344325829/1000000</f>
        <v>344.325829</v>
      </c>
      <c r="Y16" s="7">
        <f>342976312/1000000</f>
        <v>342.97631200000001</v>
      </c>
      <c r="Z16" s="7">
        <f>136303721/1000000</f>
        <v>136.303721</v>
      </c>
      <c r="AA16" s="7">
        <f>169040186/1000000</f>
        <v>169.04018600000001</v>
      </c>
      <c r="AB16" s="7">
        <f>167809994/1000000</f>
        <v>167.80999399999999</v>
      </c>
      <c r="AC16" s="7">
        <v>1125.8</v>
      </c>
      <c r="AD16" s="7">
        <v>974.7</v>
      </c>
      <c r="AE16" s="67">
        <v>447.1</v>
      </c>
      <c r="AF16" s="67">
        <v>579.70000000000005</v>
      </c>
      <c r="AG16" s="3"/>
      <c r="AH16" s="3"/>
      <c r="AI16" s="3"/>
      <c r="AJ16" s="3"/>
    </row>
    <row r="17" spans="1:36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/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/>
      <c r="AH17" s="3"/>
      <c r="AI17" s="3"/>
      <c r="AJ17" s="3"/>
    </row>
    <row r="18" spans="1:36" x14ac:dyDescent="0.3">
      <c r="A18" s="103"/>
      <c r="B18" s="14">
        <v>15</v>
      </c>
      <c r="C18" s="6" t="s">
        <v>19</v>
      </c>
      <c r="D18" s="7"/>
      <c r="E18" s="7"/>
      <c r="F18" s="7"/>
      <c r="G18" s="7"/>
      <c r="H18" s="7"/>
      <c r="I18" s="7">
        <f>(315715.128*5)/1000</f>
        <v>1578.57564</v>
      </c>
      <c r="J18" s="7">
        <f>(823669.857*5)/1000</f>
        <v>4118.3492849999993</v>
      </c>
      <c r="K18" s="7">
        <f>5260820.348/1000</f>
        <v>5260.8203480000002</v>
      </c>
      <c r="L18" s="7">
        <f>6416464.114/1000</f>
        <v>6416.4641140000003</v>
      </c>
      <c r="M18" s="7">
        <f>6572.025263</f>
        <v>6572.0252630000005</v>
      </c>
      <c r="N18" s="7">
        <f>6342.526364</f>
        <v>6342.5263640000003</v>
      </c>
      <c r="O18" s="7">
        <f>O19+(3833802152/1000000)</f>
        <v>6707.1761170000009</v>
      </c>
      <c r="P18" s="7">
        <f>P19+(2727701158/1000000)</f>
        <v>4771.2581419999997</v>
      </c>
      <c r="Q18" s="7">
        <f>4626170980/1000000</f>
        <v>4626.1709799999999</v>
      </c>
      <c r="R18" s="7">
        <f>5408180635/1000000</f>
        <v>5408.1806349999997</v>
      </c>
      <c r="S18" s="7">
        <f>5743646534/1000000</f>
        <v>5743.6465340000004</v>
      </c>
      <c r="T18" s="7">
        <f>5850490028/1000000</f>
        <v>5850.4900280000002</v>
      </c>
      <c r="U18" s="7">
        <f>5690251794/1000000</f>
        <v>5690.2517939999998</v>
      </c>
      <c r="V18" s="7">
        <f>5775743962/1000000</f>
        <v>5775.7439619999996</v>
      </c>
      <c r="W18" s="7">
        <f>4366796537/1000000</f>
        <v>4366.7965370000002</v>
      </c>
      <c r="X18" s="7">
        <f>3568426171/1000000</f>
        <v>3568.4261710000001</v>
      </c>
      <c r="Y18" s="7">
        <f>3568426171/1000000</f>
        <v>3568.4261710000001</v>
      </c>
      <c r="Z18" s="7">
        <v>3573</v>
      </c>
      <c r="AA18" s="7">
        <v>3616.4</v>
      </c>
      <c r="AB18" s="7">
        <v>3637.4</v>
      </c>
      <c r="AC18" s="7">
        <v>6886.2</v>
      </c>
      <c r="AD18" s="7">
        <v>6912.5</v>
      </c>
      <c r="AE18" s="7">
        <v>6156.1</v>
      </c>
      <c r="AF18" s="7">
        <v>5735.6</v>
      </c>
      <c r="AG18" s="3"/>
      <c r="AH18" s="3"/>
      <c r="AI18" s="3"/>
      <c r="AJ18" s="3"/>
    </row>
    <row r="19" spans="1:36" x14ac:dyDescent="0.3">
      <c r="A19" s="103"/>
      <c r="B19" s="14">
        <v>18</v>
      </c>
      <c r="C19" s="1" t="s">
        <v>21</v>
      </c>
      <c r="D19" s="3"/>
      <c r="E19" s="3"/>
      <c r="F19" s="3"/>
      <c r="G19" s="3"/>
      <c r="H19" s="3"/>
      <c r="I19" s="3">
        <f>(187050.337*5)/1000</f>
        <v>935.25168500000007</v>
      </c>
      <c r="J19" s="3">
        <f>(353939.729*5)/1000</f>
        <v>1769.6986449999999</v>
      </c>
      <c r="K19" s="3">
        <f>2606950.997/1000</f>
        <v>2606.9509969999999</v>
      </c>
      <c r="L19" s="3">
        <f>3017700.38/1000</f>
        <v>3017.7003799999998</v>
      </c>
      <c r="M19" s="3">
        <f>2647.071351</f>
        <v>2647.071351</v>
      </c>
      <c r="N19" s="3">
        <f>2571.617132</f>
        <v>2571.6171319999999</v>
      </c>
      <c r="O19" s="3">
        <f>2873373965/1000000</f>
        <v>2873.3739650000002</v>
      </c>
      <c r="P19" s="3">
        <f>2043556984/1000000</f>
        <v>2043.5569840000001</v>
      </c>
      <c r="Q19" s="3">
        <f>2042695863/1000000</f>
        <v>2042.6958629999999</v>
      </c>
      <c r="R19" s="3">
        <f>1823836381/1000000</f>
        <v>1823.8363810000001</v>
      </c>
      <c r="S19" s="3">
        <f>2183733608/1000000</f>
        <v>2183.733608</v>
      </c>
      <c r="T19" s="3">
        <f>2289208006/1000000</f>
        <v>2289.2080059999998</v>
      </c>
      <c r="U19" s="3">
        <f>2234809628/1000000</f>
        <v>2234.809628</v>
      </c>
      <c r="V19" s="3">
        <f>2591648044/1000000</f>
        <v>2591.648044</v>
      </c>
      <c r="W19" s="3">
        <f>2340664151/1000000</f>
        <v>2340.6641509999999</v>
      </c>
      <c r="X19" s="3">
        <f>1982824237/1000000</f>
        <v>1982.824237</v>
      </c>
      <c r="Y19" s="3">
        <f>1982824237/1000000</f>
        <v>1982.824237</v>
      </c>
      <c r="Z19" s="3">
        <f>2009302617/1000000</f>
        <v>2009.3026170000001</v>
      </c>
      <c r="AA19" s="3">
        <f>2064996614/1000000</f>
        <v>2064.9966140000001</v>
      </c>
      <c r="AB19" s="3">
        <f>2084773920/1000000</f>
        <v>2084.7739200000001</v>
      </c>
      <c r="AC19" s="3">
        <v>2534.6999999999998</v>
      </c>
      <c r="AD19" s="3">
        <v>2265.6</v>
      </c>
      <c r="AE19" s="3">
        <v>2301.3000000000002</v>
      </c>
      <c r="AF19" s="3">
        <v>2390.6</v>
      </c>
      <c r="AG19" s="3"/>
      <c r="AH19" s="3"/>
      <c r="AI19" s="3"/>
      <c r="AJ19" s="3"/>
    </row>
    <row r="20" spans="1:36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/>
      <c r="I20" s="7">
        <f>(55352.066+49361.694+9666.125+20765.725)*5/1000</f>
        <v>675.72805000000005</v>
      </c>
      <c r="J20" s="7">
        <f>(124364.821+106618.965+27351.315+6607.069)*5/1000</f>
        <v>1324.7108499999999</v>
      </c>
      <c r="K20" s="7">
        <f>(721089538+1048519174+108604900)/1000000</f>
        <v>1878.213612</v>
      </c>
      <c r="L20" s="7">
        <f>(774689681+955701572+283857649)/1000000</f>
        <v>2014.248902</v>
      </c>
      <c r="M20" s="7">
        <f>(676575072+774997245+434388336)/1000000</f>
        <v>1885.9606530000001</v>
      </c>
      <c r="N20" s="7">
        <f>(680092444+723501433+522058741)/1000000</f>
        <v>1925.6526180000001</v>
      </c>
      <c r="O20" s="7">
        <f>2052138332/1000000</f>
        <v>2052.138332</v>
      </c>
      <c r="P20" s="7">
        <f>2172158066/1000000</f>
        <v>2172.158066</v>
      </c>
      <c r="Q20" s="7">
        <f>1742226767/1000000</f>
        <v>1742.2267670000001</v>
      </c>
      <c r="R20" s="7">
        <f>1419323786/1000000</f>
        <v>1419.3237859999999</v>
      </c>
      <c r="S20" s="7">
        <f>1424905231/1000000</f>
        <v>1424.905231</v>
      </c>
      <c r="T20" s="7">
        <f>1443429016/1000000</f>
        <v>1443.429016</v>
      </c>
      <c r="U20" s="7">
        <f>1496587115/1000000</f>
        <v>1496.587115</v>
      </c>
      <c r="V20" s="7">
        <f>1689597652/1000000</f>
        <v>1689.5976519999999</v>
      </c>
      <c r="W20" s="7">
        <f>1419882252/1000000</f>
        <v>1419.8822520000001</v>
      </c>
      <c r="X20" s="7">
        <f>1503415108/1000000</f>
        <v>1503.4151079999999</v>
      </c>
      <c r="Y20" s="7">
        <f>1482031316/1000000</f>
        <v>1482.0313160000001</v>
      </c>
      <c r="Z20" s="7">
        <f>1340568512/1000000</f>
        <v>1340.5685120000001</v>
      </c>
      <c r="AA20" s="7">
        <f>1388989891/1000000</f>
        <v>1388.9898909999999</v>
      </c>
      <c r="AB20" s="7">
        <f>1421339016/1000000</f>
        <v>1421.3390159999999</v>
      </c>
      <c r="AC20" s="7">
        <v>1768</v>
      </c>
      <c r="AD20" s="7">
        <v>1668.9</v>
      </c>
      <c r="AE20" s="7">
        <v>1812.9</v>
      </c>
      <c r="AF20" s="7">
        <v>1778.1</v>
      </c>
      <c r="AG20" s="3"/>
      <c r="AH20" s="3"/>
      <c r="AI20" s="3"/>
      <c r="AJ20" s="3"/>
    </row>
    <row r="21" spans="1:36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/>
      <c r="I21" s="3">
        <f>(55352.066*5)/1000</f>
        <v>276.76033000000001</v>
      </c>
      <c r="J21" s="3">
        <f>(124364.821*5)/1000</f>
        <v>621.82410500000003</v>
      </c>
      <c r="K21" s="3">
        <f>721089538/1000000</f>
        <v>721.08953799999995</v>
      </c>
      <c r="L21" s="3">
        <f>774689681/1000000</f>
        <v>774.68968099999995</v>
      </c>
      <c r="M21" s="25">
        <f>676575072/1000000</f>
        <v>676.57507199999998</v>
      </c>
      <c r="N21" s="3">
        <f>680092444/1000000</f>
        <v>680.092444</v>
      </c>
      <c r="O21" s="3">
        <f>673858951/1000000</f>
        <v>673.85895100000005</v>
      </c>
      <c r="P21" s="3">
        <f>460480885/1000000</f>
        <v>460.480885</v>
      </c>
      <c r="Q21" s="3">
        <f>481185.712/1000</f>
        <v>481.18571200000002</v>
      </c>
      <c r="R21" s="3">
        <f>481903.201/1000</f>
        <v>481.90320100000002</v>
      </c>
      <c r="S21" s="3">
        <f>560433179/1000000</f>
        <v>560.433179</v>
      </c>
      <c r="T21" s="3">
        <f>603003189/1000000</f>
        <v>603.00318900000002</v>
      </c>
      <c r="U21" s="3">
        <f>682103957/1000000</f>
        <v>682.10395700000004</v>
      </c>
      <c r="V21" s="3">
        <f>650752998/1000000</f>
        <v>650.75299800000005</v>
      </c>
      <c r="W21" s="3">
        <f>538486177/1000000</f>
        <v>538.486177</v>
      </c>
      <c r="X21" s="3">
        <f>588949862/1000000</f>
        <v>588.94986200000005</v>
      </c>
      <c r="Y21" s="3">
        <f>588949862/1000000</f>
        <v>588.94986200000005</v>
      </c>
      <c r="Z21" s="3">
        <f>634764894/1000000</f>
        <v>634.76489400000003</v>
      </c>
      <c r="AA21" s="3">
        <v>696.3</v>
      </c>
      <c r="AB21" s="3">
        <v>713.3</v>
      </c>
      <c r="AC21" s="3">
        <v>671.3</v>
      </c>
      <c r="AD21" s="3">
        <v>663.9</v>
      </c>
      <c r="AE21" s="34">
        <v>636.1</v>
      </c>
      <c r="AF21" s="3">
        <v>587.20000000000005</v>
      </c>
      <c r="AG21" s="3"/>
      <c r="AH21" s="3"/>
      <c r="AI21" s="3"/>
      <c r="AJ21" s="3"/>
    </row>
    <row r="22" spans="1:36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/>
      <c r="I22" s="7">
        <f>(13865.453+74.475)*5/1000</f>
        <v>69.699640000000002</v>
      </c>
      <c r="J22" s="7">
        <f>(44480.635+4188.717)*5/1000</f>
        <v>243.34676000000002</v>
      </c>
      <c r="K22" s="7">
        <f>(333663.41+53129.733)/1000</f>
        <v>386.79314299999999</v>
      </c>
      <c r="L22" s="7">
        <f>(433232.444+44456.674)/1000</f>
        <v>477.68911800000001</v>
      </c>
      <c r="M22" s="7">
        <f>(871817+428887724)/1000000</f>
        <v>429.75954100000001</v>
      </c>
      <c r="N22" s="7">
        <f>(1457215+424825383)/1000000</f>
        <v>426.28259800000001</v>
      </c>
      <c r="O22" s="7">
        <f>346832913/1000000</f>
        <v>346.83291300000002</v>
      </c>
      <c r="P22" s="7">
        <f>244825275/1000000</f>
        <v>244.825275</v>
      </c>
      <c r="Q22" s="7">
        <f>257023.821/1000</f>
        <v>257.023821</v>
      </c>
      <c r="R22" s="7">
        <f>229073.319/1000</f>
        <v>229.073319</v>
      </c>
      <c r="S22" s="7">
        <f>215062609/1000000</f>
        <v>215.06260900000001</v>
      </c>
      <c r="T22" s="7">
        <f>208066473/1000000</f>
        <v>208.066473</v>
      </c>
      <c r="U22" s="7">
        <f>187215679/1000000</f>
        <v>187.21567899999999</v>
      </c>
      <c r="V22" s="7">
        <f>190799045/1000000</f>
        <v>190.79904500000001</v>
      </c>
      <c r="W22" s="7">
        <f>171053729/1000000</f>
        <v>171.053729</v>
      </c>
      <c r="X22" s="7">
        <f>78261378/1000000</f>
        <v>78.261377999999993</v>
      </c>
      <c r="Y22" s="7">
        <f>78261378/1000000</f>
        <v>78.261377999999993</v>
      </c>
      <c r="Z22" s="7">
        <v>243.7</v>
      </c>
      <c r="AA22" s="7">
        <v>270.5</v>
      </c>
      <c r="AB22" s="7">
        <v>279.2</v>
      </c>
      <c r="AC22" s="7">
        <v>318.89999999999998</v>
      </c>
      <c r="AD22" s="7">
        <v>302</v>
      </c>
      <c r="AE22" s="7">
        <v>329.9</v>
      </c>
      <c r="AF22" s="7">
        <v>416.6</v>
      </c>
      <c r="AG22" s="3"/>
      <c r="AH22" s="3"/>
      <c r="AI22" s="3"/>
      <c r="AJ22" s="3"/>
    </row>
    <row r="23" spans="1:36" x14ac:dyDescent="0.3">
      <c r="A23" s="103"/>
      <c r="B23" s="14">
        <v>16</v>
      </c>
      <c r="C23" s="1" t="s">
        <v>20</v>
      </c>
      <c r="D23" s="3"/>
      <c r="E23" s="3"/>
      <c r="F23" s="3"/>
      <c r="G23" s="3"/>
      <c r="H23" s="3"/>
      <c r="I23" s="3">
        <f>(91424.377*5)/1000</f>
        <v>457.12188499999996</v>
      </c>
      <c r="J23" s="3">
        <f>(239406.569*5)/1000</f>
        <v>1197.032845</v>
      </c>
      <c r="K23" s="3">
        <f>1807060.667/1000</f>
        <v>1807.060667</v>
      </c>
      <c r="L23" s="3">
        <f>932531.452/1000</f>
        <v>932.53145200000006</v>
      </c>
      <c r="M23" s="3">
        <f>541682924/1000000</f>
        <v>541.68292399999996</v>
      </c>
      <c r="N23" s="3">
        <f>582491722/1000000</f>
        <v>582.49172199999998</v>
      </c>
      <c r="O23" s="3">
        <f>1890414781/1000000</f>
        <v>1890.4147809999999</v>
      </c>
      <c r="P23" s="3">
        <f>1535430786/1000000</f>
        <v>1535.4307859999999</v>
      </c>
      <c r="Q23" s="3">
        <f>1694699975/1000000</f>
        <v>1694.699975</v>
      </c>
      <c r="R23" s="3">
        <f>1617981452/1000000</f>
        <v>1617.981452</v>
      </c>
      <c r="S23" s="3">
        <f>1562543877/1000000</f>
        <v>1562.5438770000001</v>
      </c>
      <c r="T23" s="3">
        <f>1701134275/1000000</f>
        <v>1701.1342749999999</v>
      </c>
      <c r="U23" s="3">
        <f>1861562138/1000000</f>
        <v>1861.562138</v>
      </c>
      <c r="V23" s="3">
        <f>1964971050/1000000</f>
        <v>1964.9710500000001</v>
      </c>
      <c r="W23" s="3">
        <f>1668558921/1000000</f>
        <v>1668.5589210000001</v>
      </c>
      <c r="X23" s="3">
        <f>1908111418/1000000</f>
        <v>1908.111418</v>
      </c>
      <c r="Y23" s="3">
        <f>1886727626/1000000</f>
        <v>1886.7276260000001</v>
      </c>
      <c r="Z23" s="3">
        <v>1658.5</v>
      </c>
      <c r="AA23" s="3">
        <v>1893.7</v>
      </c>
      <c r="AB23" s="3">
        <v>1967.2</v>
      </c>
      <c r="AC23" s="3">
        <v>2068.8000000000002</v>
      </c>
      <c r="AD23" s="3">
        <v>2131.8000000000002</v>
      </c>
      <c r="AE23" s="3">
        <v>1992.8</v>
      </c>
      <c r="AF23" s="3">
        <v>2428.4</v>
      </c>
      <c r="AG23" s="3"/>
      <c r="AH23" s="3"/>
      <c r="AI23" s="3"/>
      <c r="AJ23" s="3"/>
    </row>
    <row r="25" spans="1:36" x14ac:dyDescent="0.3">
      <c r="A25" s="9" t="s">
        <v>71</v>
      </c>
      <c r="B25" s="8"/>
      <c r="C25" s="9" t="s">
        <v>26</v>
      </c>
      <c r="D25" s="8">
        <v>93</v>
      </c>
      <c r="E25" s="8">
        <v>94</v>
      </c>
      <c r="F25" s="8">
        <v>95</v>
      </c>
      <c r="G25" s="8">
        <v>96</v>
      </c>
      <c r="H25" s="8">
        <v>97</v>
      </c>
      <c r="I25" s="8">
        <v>98</v>
      </c>
      <c r="J25" s="8">
        <v>99</v>
      </c>
      <c r="K25" s="8">
        <v>2000</v>
      </c>
      <c r="L25" s="8">
        <v>1</v>
      </c>
      <c r="M25" s="8">
        <v>2</v>
      </c>
      <c r="N25" s="8">
        <v>3</v>
      </c>
      <c r="O25" s="8">
        <v>4</v>
      </c>
      <c r="P25" s="8">
        <v>5</v>
      </c>
      <c r="Q25" s="8">
        <v>6</v>
      </c>
      <c r="R25" s="8">
        <v>7</v>
      </c>
      <c r="S25" s="8">
        <v>8</v>
      </c>
      <c r="T25" s="8">
        <v>9</v>
      </c>
      <c r="U25" s="8">
        <v>10</v>
      </c>
      <c r="V25" s="8">
        <v>11</v>
      </c>
      <c r="W25" s="8">
        <v>12</v>
      </c>
      <c r="X25" s="8">
        <v>13</v>
      </c>
      <c r="Y25" s="8">
        <v>14</v>
      </c>
      <c r="Z25" s="8">
        <v>15</v>
      </c>
      <c r="AA25" s="8">
        <v>16</v>
      </c>
      <c r="AB25" s="8">
        <v>17</v>
      </c>
      <c r="AC25" s="8">
        <v>18</v>
      </c>
      <c r="AD25" s="8">
        <v>19</v>
      </c>
      <c r="AE25" s="8">
        <v>20</v>
      </c>
      <c r="AF25" s="8" t="s">
        <v>3</v>
      </c>
      <c r="AG25" s="8" t="s">
        <v>94</v>
      </c>
      <c r="AH25" s="8" t="s">
        <v>116</v>
      </c>
      <c r="AI25" s="8" t="s">
        <v>117</v>
      </c>
      <c r="AJ25" s="8" t="s">
        <v>118</v>
      </c>
    </row>
    <row r="26" spans="1:36" x14ac:dyDescent="0.3">
      <c r="A26" s="6" t="s">
        <v>65</v>
      </c>
      <c r="B26" s="17" t="s">
        <v>27</v>
      </c>
      <c r="C26" s="6" t="s">
        <v>85</v>
      </c>
      <c r="D26" s="7">
        <f t="shared" ref="D26:AF26" si="0">D4*D5</f>
        <v>0</v>
      </c>
      <c r="E26" s="7">
        <f t="shared" si="0"/>
        <v>689.23199999999997</v>
      </c>
      <c r="F26" s="7">
        <f t="shared" si="0"/>
        <v>597.68999999999994</v>
      </c>
      <c r="G26" s="7">
        <f t="shared" si="0"/>
        <v>901.80000000000007</v>
      </c>
      <c r="H26" s="7">
        <f t="shared" si="0"/>
        <v>1366.2</v>
      </c>
      <c r="I26" s="7">
        <f t="shared" ref="I26:U26" si="1">I4*I5</f>
        <v>1535.44</v>
      </c>
      <c r="J26" s="7">
        <f t="shared" si="1"/>
        <v>3606.7960000000003</v>
      </c>
      <c r="K26" s="7">
        <f t="shared" si="1"/>
        <v>1984.779</v>
      </c>
      <c r="L26" s="7">
        <f t="shared" si="1"/>
        <v>1331.0640000000001</v>
      </c>
      <c r="M26" s="7">
        <f t="shared" si="1"/>
        <v>652.87800000000004</v>
      </c>
      <c r="N26" s="7">
        <f t="shared" si="1"/>
        <v>1077.6419999999998</v>
      </c>
      <c r="O26" s="7">
        <f t="shared" si="1"/>
        <v>1746.2520000000002</v>
      </c>
      <c r="P26" s="7">
        <f t="shared" si="1"/>
        <v>1925.712</v>
      </c>
      <c r="Q26" s="7">
        <f t="shared" si="1"/>
        <v>2456.52</v>
      </c>
      <c r="R26" s="7">
        <f t="shared" si="1"/>
        <v>3231.777</v>
      </c>
      <c r="S26" s="7">
        <f t="shared" si="1"/>
        <v>874</v>
      </c>
      <c r="T26" s="7">
        <f t="shared" si="1"/>
        <v>1740</v>
      </c>
      <c r="U26" s="7">
        <f t="shared" si="1"/>
        <v>1464.06</v>
      </c>
      <c r="V26" s="7">
        <f t="shared" ref="V26:AB26" si="2">V4*V5</f>
        <v>863.37900000000002</v>
      </c>
      <c r="W26" s="7">
        <f t="shared" si="2"/>
        <v>1286.7510000000002</v>
      </c>
      <c r="X26" s="7">
        <f t="shared" si="2"/>
        <v>1968.973</v>
      </c>
      <c r="Y26" s="7">
        <f t="shared" si="2"/>
        <v>2008.0640000000001</v>
      </c>
      <c r="Z26" s="7">
        <f t="shared" si="2"/>
        <v>1967.096</v>
      </c>
      <c r="AA26" s="7">
        <f t="shared" si="2"/>
        <v>1767.2280000000001</v>
      </c>
      <c r="AB26" s="7">
        <f t="shared" si="2"/>
        <v>2285.7799999999997</v>
      </c>
      <c r="AC26" s="7">
        <f t="shared" si="0"/>
        <v>1647.5400000000002</v>
      </c>
      <c r="AD26" s="7">
        <f t="shared" si="0"/>
        <v>1851.8500000000001</v>
      </c>
      <c r="AE26" s="7">
        <f t="shared" si="0"/>
        <v>1352.106</v>
      </c>
      <c r="AF26" s="7">
        <f t="shared" si="0"/>
        <v>2005.9999999999998</v>
      </c>
      <c r="AG26" s="7">
        <f t="shared" ref="AG26:AJ26" si="3">AG4*AG5</f>
        <v>2040</v>
      </c>
      <c r="AH26" s="7">
        <f t="shared" si="3"/>
        <v>2040</v>
      </c>
      <c r="AI26" s="7">
        <f t="shared" si="3"/>
        <v>2040</v>
      </c>
      <c r="AJ26" s="7">
        <f t="shared" si="3"/>
        <v>2040</v>
      </c>
    </row>
    <row r="27" spans="1:36" x14ac:dyDescent="0.3">
      <c r="A27" s="1" t="s">
        <v>66</v>
      </c>
      <c r="B27" s="2" t="s">
        <v>28</v>
      </c>
      <c r="C27" s="1" t="s">
        <v>47</v>
      </c>
      <c r="D27" s="30" t="e">
        <f t="shared" ref="D27:AF27" si="4">D26/D6</f>
        <v>#DIV/0!</v>
      </c>
      <c r="E27" s="30" t="e">
        <f t="shared" si="4"/>
        <v>#DIV/0!</v>
      </c>
      <c r="F27" s="30" t="e">
        <f t="shared" si="4"/>
        <v>#DIV/0!</v>
      </c>
      <c r="G27" s="30" t="e">
        <f t="shared" si="4"/>
        <v>#DIV/0!</v>
      </c>
      <c r="H27" s="30" t="e">
        <f t="shared" si="4"/>
        <v>#DIV/0!</v>
      </c>
      <c r="I27" s="30">
        <f t="shared" ref="I27:U27" si="5">I26/I6</f>
        <v>0.61230785241612551</v>
      </c>
      <c r="J27" s="30">
        <f t="shared" si="5"/>
        <v>0.8331227069459044</v>
      </c>
      <c r="K27" s="30">
        <f t="shared" si="5"/>
        <v>0.32435935018336887</v>
      </c>
      <c r="L27" s="30">
        <f t="shared" si="5"/>
        <v>0.19509386211424823</v>
      </c>
      <c r="M27" s="30">
        <f t="shared" si="5"/>
        <v>0.10403330418897762</v>
      </c>
      <c r="N27" s="30">
        <f t="shared" si="5"/>
        <v>0.17215510241426352</v>
      </c>
      <c r="O27" s="30">
        <f t="shared" si="5"/>
        <v>0.24873965165908915</v>
      </c>
      <c r="P27" s="30">
        <f t="shared" si="5"/>
        <v>0.26841574395052842</v>
      </c>
      <c r="Q27" s="30">
        <f t="shared" si="5"/>
        <v>0.49760913770906889</v>
      </c>
      <c r="R27" s="30">
        <f t="shared" si="5"/>
        <v>0.61944850462890844</v>
      </c>
      <c r="S27" s="30">
        <f t="shared" si="5"/>
        <v>0.1632697606808754</v>
      </c>
      <c r="T27" s="30">
        <f t="shared" si="5"/>
        <v>0.30713956108903084</v>
      </c>
      <c r="U27" s="30">
        <f t="shared" si="5"/>
        <v>0.25046847271160078</v>
      </c>
      <c r="V27" s="30">
        <f t="shared" ref="V27:AB27" si="6">V26/V6</f>
        <v>0.15046284943801885</v>
      </c>
      <c r="W27" s="30">
        <f t="shared" si="6"/>
        <v>0.27554808754779458</v>
      </c>
      <c r="X27" s="30">
        <f t="shared" si="6"/>
        <v>0.40838697381911832</v>
      </c>
      <c r="Y27" s="30">
        <f t="shared" si="6"/>
        <v>0.40370183589018094</v>
      </c>
      <c r="Z27" s="30">
        <f t="shared" si="6"/>
        <v>0.3923017189030823</v>
      </c>
      <c r="AA27" s="30">
        <f t="shared" si="6"/>
        <v>0.32872544642857143</v>
      </c>
      <c r="AB27" s="30">
        <f t="shared" si="6"/>
        <v>0.40030108228629796</v>
      </c>
      <c r="AC27" s="30">
        <f t="shared" si="4"/>
        <v>0.27685094942026556</v>
      </c>
      <c r="AD27" s="30">
        <f t="shared" si="4"/>
        <v>0.30598975545274293</v>
      </c>
      <c r="AE27" s="30">
        <f t="shared" si="4"/>
        <v>0.19805273180020508</v>
      </c>
      <c r="AF27" s="30">
        <f t="shared" si="4"/>
        <v>0.29323198362812453</v>
      </c>
      <c r="AG27" s="30">
        <f t="shared" ref="AG27:AJ27" si="7">AG26/AG6</f>
        <v>0.28655710071639273</v>
      </c>
      <c r="AH27" s="30">
        <f t="shared" si="7"/>
        <v>0.27781560670025873</v>
      </c>
      <c r="AI27" s="30">
        <f t="shared" si="7"/>
        <v>0.26322580645161292</v>
      </c>
      <c r="AJ27" s="30">
        <f t="shared" si="7"/>
        <v>0.25570318375532713</v>
      </c>
    </row>
    <row r="28" spans="1:36" x14ac:dyDescent="0.3">
      <c r="A28" s="6" t="s">
        <v>67</v>
      </c>
      <c r="B28" s="17" t="s">
        <v>29</v>
      </c>
      <c r="C28" s="6" t="s">
        <v>48</v>
      </c>
      <c r="D28" s="29" t="e">
        <f t="shared" ref="D28:AF28" si="8">D26/D7</f>
        <v>#DIV/0!</v>
      </c>
      <c r="E28" s="29" t="e">
        <f t="shared" si="8"/>
        <v>#DIV/0!</v>
      </c>
      <c r="F28" s="29" t="e">
        <f t="shared" si="8"/>
        <v>#DIV/0!</v>
      </c>
      <c r="G28" s="29" t="e">
        <f t="shared" si="8"/>
        <v>#DIV/0!</v>
      </c>
      <c r="H28" s="29" t="e">
        <f t="shared" si="8"/>
        <v>#DIV/0!</v>
      </c>
      <c r="I28" s="29">
        <f t="shared" ref="I28:U28" si="9">I26/I7</f>
        <v>7.6064650097729922</v>
      </c>
      <c r="J28" s="29">
        <f t="shared" si="9"/>
        <v>10.555543450934016</v>
      </c>
      <c r="K28" s="29">
        <f t="shared" si="9"/>
        <v>9.7445119339989876</v>
      </c>
      <c r="L28" s="29">
        <f t="shared" si="9"/>
        <v>5.8516357742629763</v>
      </c>
      <c r="M28" s="29">
        <f t="shared" si="9"/>
        <v>1.1534028798110276</v>
      </c>
      <c r="N28" s="29">
        <f t="shared" si="9"/>
        <v>1.9326650619990511</v>
      </c>
      <c r="O28" s="29">
        <f t="shared" si="9"/>
        <v>1.8981029688806219</v>
      </c>
      <c r="P28" s="29">
        <f t="shared" si="9"/>
        <v>2.0764454148413134</v>
      </c>
      <c r="Q28" s="29">
        <f t="shared" si="9"/>
        <v>7.2014647915176351</v>
      </c>
      <c r="R28" s="29">
        <f t="shared" si="9"/>
        <v>8.6798090980602716</v>
      </c>
      <c r="S28" s="29">
        <f t="shared" si="9"/>
        <v>1.4096774193548387</v>
      </c>
      <c r="T28" s="29">
        <f t="shared" si="9"/>
        <v>2.6086956521739131</v>
      </c>
      <c r="U28" s="29">
        <f t="shared" si="9"/>
        <v>2.0084451740746245</v>
      </c>
      <c r="V28" s="29">
        <f t="shared" ref="V28:AB28" si="10">V26/V7</f>
        <v>1.2867191333069081</v>
      </c>
      <c r="W28" s="29">
        <f t="shared" si="10"/>
        <v>3.8941091835340278</v>
      </c>
      <c r="X28" s="29">
        <f t="shared" si="10"/>
        <v>5.2149368337874842</v>
      </c>
      <c r="Y28" s="29">
        <f t="shared" si="10"/>
        <v>4.8155011990407672</v>
      </c>
      <c r="Z28" s="29">
        <f t="shared" si="10"/>
        <v>5.0053333333333336</v>
      </c>
      <c r="AA28" s="29">
        <f t="shared" si="10"/>
        <v>5.5225875000000002</v>
      </c>
      <c r="AB28" s="29">
        <f t="shared" si="10"/>
        <v>5.7731922309499151</v>
      </c>
      <c r="AC28" s="29">
        <f t="shared" si="8"/>
        <v>4.3242519685039378</v>
      </c>
      <c r="AD28" s="29">
        <f t="shared" si="8"/>
        <v>2.6645323741007196</v>
      </c>
      <c r="AE28" s="29">
        <f t="shared" si="8"/>
        <v>2.142798732171157</v>
      </c>
      <c r="AF28" s="29">
        <f t="shared" si="8"/>
        <v>3.3316724796545421</v>
      </c>
      <c r="AG28" s="29">
        <f t="shared" ref="AG28:AJ28" si="11">AG26/AG7</f>
        <v>3.1337368275523056</v>
      </c>
      <c r="AH28" s="29">
        <f t="shared" si="11"/>
        <v>3.0465494840280161</v>
      </c>
      <c r="AI28" s="29">
        <f t="shared" si="11"/>
        <v>2.7679782903663499</v>
      </c>
      <c r="AJ28" s="29">
        <f t="shared" si="11"/>
        <v>2.6493506493506493</v>
      </c>
    </row>
    <row r="29" spans="1:36" x14ac:dyDescent="0.3">
      <c r="A29" s="15" t="s">
        <v>68</v>
      </c>
      <c r="B29" s="2" t="s">
        <v>30</v>
      </c>
      <c r="C29" s="1" t="s">
        <v>49</v>
      </c>
      <c r="D29" s="3">
        <f t="shared" ref="D29:H29" si="12">D15-D14</f>
        <v>0</v>
      </c>
      <c r="E29" s="3">
        <f t="shared" si="12"/>
        <v>0</v>
      </c>
      <c r="F29" s="3">
        <f t="shared" si="12"/>
        <v>0</v>
      </c>
      <c r="G29" s="3">
        <f t="shared" si="12"/>
        <v>0</v>
      </c>
      <c r="H29" s="3">
        <f t="shared" si="12"/>
        <v>0</v>
      </c>
      <c r="I29" s="3">
        <f t="shared" ref="I29:U29" si="13">I15-I14</f>
        <v>713.14964999999995</v>
      </c>
      <c r="J29" s="3">
        <f t="shared" si="13"/>
        <v>2433.6130800000001</v>
      </c>
      <c r="K29" s="3">
        <f t="shared" si="13"/>
        <v>2497.7233800000004</v>
      </c>
      <c r="L29" s="3">
        <f t="shared" si="13"/>
        <v>3649.381648</v>
      </c>
      <c r="M29" s="3">
        <f t="shared" si="13"/>
        <v>3424.1703870000001</v>
      </c>
      <c r="N29" s="3">
        <f t="shared" si="13"/>
        <v>1770.8880099999999</v>
      </c>
      <c r="O29" s="3">
        <f t="shared" si="13"/>
        <v>2682.776202</v>
      </c>
      <c r="P29" s="3">
        <f t="shared" si="13"/>
        <v>1638.809135</v>
      </c>
      <c r="Q29" s="3">
        <f t="shared" si="13"/>
        <v>2080.5021729999999</v>
      </c>
      <c r="R29" s="3">
        <f t="shared" si="13"/>
        <v>1929.6997530000003</v>
      </c>
      <c r="S29" s="3">
        <f t="shared" si="13"/>
        <v>3215.8781400000003</v>
      </c>
      <c r="T29" s="3">
        <f t="shared" si="13"/>
        <v>3065.9687920000001</v>
      </c>
      <c r="U29" s="3">
        <f t="shared" si="13"/>
        <v>2827.8396709999997</v>
      </c>
      <c r="V29" s="3">
        <f t="shared" ref="V29:Y29" si="14">V15-V14</f>
        <v>3037.4702000000002</v>
      </c>
      <c r="W29" s="3">
        <f t="shared" si="14"/>
        <v>1839.7233459999998</v>
      </c>
      <c r="X29" s="3">
        <f t="shared" si="14"/>
        <v>1009.743881</v>
      </c>
      <c r="Y29" s="3">
        <f t="shared" si="14"/>
        <v>1004.1617249999999</v>
      </c>
      <c r="Z29" s="3">
        <f t="shared" ref="Z29" si="15">Z15-Z14</f>
        <v>1226.3</v>
      </c>
      <c r="AA29" s="3">
        <f t="shared" ref="AA29:AF29" si="16">Z15-Z14</f>
        <v>1226.3</v>
      </c>
      <c r="AB29" s="3">
        <f t="shared" si="16"/>
        <v>1230</v>
      </c>
      <c r="AC29" s="3">
        <f t="shared" si="16"/>
        <v>1123.5999999999999</v>
      </c>
      <c r="AD29" s="3">
        <f t="shared" si="16"/>
        <v>2460</v>
      </c>
      <c r="AE29" s="3">
        <f t="shared" si="16"/>
        <v>2369.1000000000004</v>
      </c>
      <c r="AF29" s="3">
        <f t="shared" si="16"/>
        <v>2328.6000000000004</v>
      </c>
      <c r="AG29" s="1"/>
      <c r="AH29" s="1"/>
      <c r="AI29" s="1"/>
      <c r="AJ29" s="1"/>
    </row>
    <row r="30" spans="1:36" x14ac:dyDescent="0.3">
      <c r="A30" s="6" t="s">
        <v>69</v>
      </c>
      <c r="B30" s="17" t="s">
        <v>31</v>
      </c>
      <c r="C30" s="6" t="s">
        <v>50</v>
      </c>
      <c r="D30" s="7">
        <f t="shared" ref="D30:AF30" si="17">D26+D29+D16+D17</f>
        <v>0</v>
      </c>
      <c r="E30" s="7">
        <f t="shared" si="17"/>
        <v>689.23199999999997</v>
      </c>
      <c r="F30" s="7">
        <f t="shared" si="17"/>
        <v>597.68999999999994</v>
      </c>
      <c r="G30" s="7">
        <f t="shared" si="17"/>
        <v>901.80000000000007</v>
      </c>
      <c r="H30" s="7">
        <f t="shared" si="17"/>
        <v>1366.2</v>
      </c>
      <c r="I30" s="7">
        <f t="shared" ref="I30:U30" si="18">I26+I29+I16+I17</f>
        <v>2496.8568</v>
      </c>
      <c r="J30" s="7">
        <f t="shared" si="18"/>
        <v>6656.2186950000005</v>
      </c>
      <c r="K30" s="7">
        <f t="shared" si="18"/>
        <v>5288.6504020000002</v>
      </c>
      <c r="L30" s="7">
        <f t="shared" si="18"/>
        <v>5912.4585219999999</v>
      </c>
      <c r="M30" s="7">
        <f t="shared" si="18"/>
        <v>4931.1703800000005</v>
      </c>
      <c r="N30" s="7">
        <f t="shared" si="18"/>
        <v>3598.1942849999996</v>
      </c>
      <c r="O30" s="7">
        <f t="shared" si="18"/>
        <v>5214.5434920000007</v>
      </c>
      <c r="P30" s="7">
        <f t="shared" si="18"/>
        <v>3959.2287470000001</v>
      </c>
      <c r="Q30" s="7">
        <f t="shared" si="18"/>
        <v>4939.0804869999993</v>
      </c>
      <c r="R30" s="7">
        <f t="shared" si="18"/>
        <v>5609.7974570000006</v>
      </c>
      <c r="S30" s="7">
        <f t="shared" si="18"/>
        <v>4501.4272410000003</v>
      </c>
      <c r="T30" s="7">
        <f t="shared" si="18"/>
        <v>5283.9375469999995</v>
      </c>
      <c r="U30" s="7">
        <f t="shared" si="18"/>
        <v>4815.9886109999989</v>
      </c>
      <c r="V30" s="7">
        <f t="shared" ref="V30:AB30" si="19">V26+V29+V16+V17</f>
        <v>4508.9752360000002</v>
      </c>
      <c r="W30" s="7">
        <f t="shared" si="19"/>
        <v>3476.3754669999998</v>
      </c>
      <c r="X30" s="7">
        <f t="shared" si="19"/>
        <v>3323.0427099999997</v>
      </c>
      <c r="Y30" s="7">
        <f t="shared" si="19"/>
        <v>3355.202037</v>
      </c>
      <c r="Z30" s="7">
        <f t="shared" ref="Z30" si="20">Z26+Z29+Z16+Z17</f>
        <v>3329.699721</v>
      </c>
      <c r="AA30" s="7">
        <f t="shared" si="19"/>
        <v>3162.5681860000004</v>
      </c>
      <c r="AB30" s="7">
        <f t="shared" si="19"/>
        <v>3683.5899939999999</v>
      </c>
      <c r="AC30" s="7">
        <f t="shared" si="17"/>
        <v>3896.9400000000005</v>
      </c>
      <c r="AD30" s="7">
        <f t="shared" si="17"/>
        <v>5286.55</v>
      </c>
      <c r="AE30" s="7">
        <f t="shared" si="17"/>
        <v>4168.3060000000005</v>
      </c>
      <c r="AF30" s="7">
        <f t="shared" si="17"/>
        <v>4914.3</v>
      </c>
      <c r="AG30" s="1"/>
      <c r="AH30" s="1"/>
      <c r="AI30" s="1"/>
      <c r="AJ30" s="1"/>
    </row>
    <row r="31" spans="1:36" x14ac:dyDescent="0.3">
      <c r="A31" s="1" t="s">
        <v>70</v>
      </c>
      <c r="B31" s="2" t="s">
        <v>32</v>
      </c>
      <c r="C31" s="1" t="s">
        <v>51</v>
      </c>
      <c r="D31" s="30" t="e">
        <f t="shared" ref="D31:AF31" si="21">D30/D7</f>
        <v>#DIV/0!</v>
      </c>
      <c r="E31" s="30" t="e">
        <f t="shared" si="21"/>
        <v>#DIV/0!</v>
      </c>
      <c r="F31" s="30" t="e">
        <f t="shared" si="21"/>
        <v>#DIV/0!</v>
      </c>
      <c r="G31" s="30" t="e">
        <f t="shared" si="21"/>
        <v>#DIV/0!</v>
      </c>
      <c r="H31" s="30" t="e">
        <f t="shared" si="21"/>
        <v>#DIV/0!</v>
      </c>
      <c r="I31" s="30">
        <f t="shared" ref="I31:U31" si="22">I30/I7</f>
        <v>12.369258247547128</v>
      </c>
      <c r="J31" s="30">
        <f t="shared" si="22"/>
        <v>19.479894525221777</v>
      </c>
      <c r="K31" s="30">
        <f t="shared" si="22"/>
        <v>25.965267144119093</v>
      </c>
      <c r="L31" s="30">
        <f t="shared" si="22"/>
        <v>25.992404423214211</v>
      </c>
      <c r="M31" s="30">
        <f t="shared" si="22"/>
        <v>8.7116216462047102</v>
      </c>
      <c r="N31" s="30">
        <f t="shared" si="22"/>
        <v>6.4530747510807451</v>
      </c>
      <c r="O31" s="30">
        <f t="shared" si="22"/>
        <v>5.667990921998844</v>
      </c>
      <c r="P31" s="30">
        <f t="shared" si="22"/>
        <v>4.2691338985352267</v>
      </c>
      <c r="Q31" s="30">
        <f t="shared" si="22"/>
        <v>14.479269140736598</v>
      </c>
      <c r="R31" s="30">
        <f t="shared" si="22"/>
        <v>15.0666246481561</v>
      </c>
      <c r="S31" s="30">
        <f t="shared" si="22"/>
        <v>7.2603665177419359</v>
      </c>
      <c r="T31" s="30">
        <f t="shared" si="22"/>
        <v>7.9219453478260862</v>
      </c>
      <c r="U31" s="30">
        <f t="shared" si="22"/>
        <v>6.6067299729254971</v>
      </c>
      <c r="V31" s="30">
        <f t="shared" ref="V31:AB31" si="23">V30/V7</f>
        <v>6.7198584952474301</v>
      </c>
      <c r="W31" s="30">
        <f t="shared" si="23"/>
        <v>10.520594607237214</v>
      </c>
      <c r="X31" s="30">
        <f t="shared" si="23"/>
        <v>8.8012673757476509</v>
      </c>
      <c r="Y31" s="30">
        <f t="shared" si="23"/>
        <v>8.0460480503597118</v>
      </c>
      <c r="Z31" s="30">
        <f t="shared" ref="Z31" si="24">Z30/Z7</f>
        <v>8.4725183740458014</v>
      </c>
      <c r="AA31" s="30">
        <f t="shared" si="23"/>
        <v>9.883025581250001</v>
      </c>
      <c r="AB31" s="30">
        <f t="shared" si="23"/>
        <v>9.3036395170863528</v>
      </c>
      <c r="AC31" s="30">
        <f t="shared" si="21"/>
        <v>10.228188976377954</v>
      </c>
      <c r="AD31" s="30">
        <f t="shared" si="21"/>
        <v>7.6065467625899279</v>
      </c>
      <c r="AE31" s="30">
        <f t="shared" si="21"/>
        <v>6.6058732171156898</v>
      </c>
      <c r="AF31" s="30">
        <f t="shared" si="21"/>
        <v>8.1619332336821131</v>
      </c>
      <c r="AG31" s="1"/>
      <c r="AH31" s="1"/>
      <c r="AI31" s="1"/>
      <c r="AJ31" s="1"/>
    </row>
    <row r="32" spans="1:36" x14ac:dyDescent="0.3">
      <c r="A32" s="18" t="s">
        <v>72</v>
      </c>
      <c r="B32" s="17" t="s">
        <v>33</v>
      </c>
      <c r="C32" s="6" t="s">
        <v>109</v>
      </c>
      <c r="D32" s="27" t="e">
        <f t="shared" ref="D32:AF32" si="25">D7/D6</f>
        <v>#DIV/0!</v>
      </c>
      <c r="E32" s="27" t="e">
        <f t="shared" si="25"/>
        <v>#DIV/0!</v>
      </c>
      <c r="F32" s="27" t="e">
        <f t="shared" si="25"/>
        <v>#DIV/0!</v>
      </c>
      <c r="G32" s="27" t="e">
        <f t="shared" si="25"/>
        <v>#DIV/0!</v>
      </c>
      <c r="H32" s="27" t="e">
        <f t="shared" si="25"/>
        <v>#DIV/0!</v>
      </c>
      <c r="I32" s="27">
        <f t="shared" ref="I32:U32" si="26">I7/I6</f>
        <v>8.0498346029254819E-2</v>
      </c>
      <c r="J32" s="27">
        <f t="shared" si="26"/>
        <v>7.892750485264545E-2</v>
      </c>
      <c r="K32" s="27">
        <f t="shared" si="26"/>
        <v>3.3286361839392514E-2</v>
      </c>
      <c r="L32" s="27">
        <f t="shared" si="26"/>
        <v>3.3340055608437218E-2</v>
      </c>
      <c r="M32" s="27">
        <f t="shared" si="26"/>
        <v>9.0196847961765386E-2</v>
      </c>
      <c r="N32" s="27">
        <f t="shared" si="26"/>
        <v>8.9076532607359801E-2</v>
      </c>
      <c r="O32" s="27">
        <f t="shared" si="26"/>
        <v>0.13104644781509386</v>
      </c>
      <c r="P32" s="27">
        <f t="shared" si="26"/>
        <v>0.12926693956510357</v>
      </c>
      <c r="Q32" s="27">
        <f t="shared" si="26"/>
        <v>6.9098322648912497E-2</v>
      </c>
      <c r="R32" s="27">
        <f t="shared" si="26"/>
        <v>7.1366604683430229E-2</v>
      </c>
      <c r="S32" s="27">
        <f t="shared" si="26"/>
        <v>0.11582065402991161</v>
      </c>
      <c r="T32" s="27">
        <f t="shared" si="26"/>
        <v>0.11773683175079515</v>
      </c>
      <c r="U32" s="27">
        <f t="shared" si="26"/>
        <v>0.12470764746018131</v>
      </c>
      <c r="V32" s="27">
        <f t="shared" ref="V32:AB32" si="27">V7/V6</f>
        <v>0.11693527013259271</v>
      </c>
      <c r="W32" s="27">
        <f t="shared" si="27"/>
        <v>7.076023669622071E-2</v>
      </c>
      <c r="X32" s="27">
        <f t="shared" si="27"/>
        <v>7.8311010628774311E-2</v>
      </c>
      <c r="Y32" s="27">
        <f t="shared" si="27"/>
        <v>8.3833814841661136E-2</v>
      </c>
      <c r="Z32" s="27">
        <f t="shared" si="27"/>
        <v>7.8376741922565718E-2</v>
      </c>
      <c r="AA32" s="27">
        <f t="shared" si="27"/>
        <v>5.9523809523809521E-2</v>
      </c>
      <c r="AB32" s="27">
        <f t="shared" si="27"/>
        <v>6.9337909820548771E-2</v>
      </c>
      <c r="AC32" s="27">
        <f t="shared" si="25"/>
        <v>6.4022853301966054E-2</v>
      </c>
      <c r="AD32" s="27">
        <f t="shared" si="25"/>
        <v>0.11483807005948447</v>
      </c>
      <c r="AE32" s="27">
        <f t="shared" si="25"/>
        <v>9.242712758166105E-2</v>
      </c>
      <c r="AF32" s="27">
        <f t="shared" si="25"/>
        <v>8.801344832626809E-2</v>
      </c>
      <c r="AG32" s="27">
        <f t="shared" ref="AG32:AJ32" si="28">AG7/AG6</f>
        <v>9.1442618345273216E-2</v>
      </c>
      <c r="AH32" s="27">
        <f t="shared" si="28"/>
        <v>9.1190249216941313E-2</v>
      </c>
      <c r="AI32" s="27">
        <f t="shared" si="28"/>
        <v>9.5096774193548381E-2</v>
      </c>
      <c r="AJ32" s="27">
        <f t="shared" si="28"/>
        <v>9.6515417397844069E-2</v>
      </c>
    </row>
    <row r="33" spans="1:36" x14ac:dyDescent="0.3">
      <c r="A33" s="16" t="s">
        <v>73</v>
      </c>
      <c r="B33" s="2" t="s">
        <v>34</v>
      </c>
      <c r="C33" s="1" t="s">
        <v>110</v>
      </c>
      <c r="D33" s="28" t="e">
        <f t="shared" ref="D33:AF33" si="29">D8/D6</f>
        <v>#DIV/0!</v>
      </c>
      <c r="E33" s="28" t="e">
        <f t="shared" si="29"/>
        <v>#DIV/0!</v>
      </c>
      <c r="F33" s="28" t="e">
        <f t="shared" si="29"/>
        <v>#DIV/0!</v>
      </c>
      <c r="G33" s="28" t="e">
        <f t="shared" si="29"/>
        <v>#DIV/0!</v>
      </c>
      <c r="H33" s="28" t="e">
        <f t="shared" si="29"/>
        <v>#DIV/0!</v>
      </c>
      <c r="I33" s="28">
        <f t="shared" ref="I33:U33" si="30">I8/I6</f>
        <v>5.1359311050141881E-2</v>
      </c>
      <c r="J33" s="28">
        <f t="shared" si="30"/>
        <v>3.4200551981363375E-2</v>
      </c>
      <c r="K33" s="28">
        <f t="shared" si="30"/>
        <v>3.3278585826748072E-2</v>
      </c>
      <c r="L33" s="28">
        <f t="shared" si="30"/>
        <v>3.3204985621049114E-2</v>
      </c>
      <c r="M33" s="28">
        <f t="shared" si="30"/>
        <v>3.0199850879350974E-2</v>
      </c>
      <c r="N33" s="28">
        <f t="shared" si="30"/>
        <v>2.8056387701306335E-2</v>
      </c>
      <c r="O33" s="28">
        <f t="shared" si="30"/>
        <v>8.4526582274446482E-2</v>
      </c>
      <c r="P33" s="28">
        <f t="shared" si="30"/>
        <v>8.6147844795153861E-2</v>
      </c>
      <c r="Q33" s="28">
        <f t="shared" si="30"/>
        <v>2.3161169225335211E-2</v>
      </c>
      <c r="R33" s="28">
        <f t="shared" si="30"/>
        <v>2.6332326146304402E-2</v>
      </c>
      <c r="S33" s="28">
        <f t="shared" si="30"/>
        <v>6.2020092157952671E-2</v>
      </c>
      <c r="T33" s="28">
        <f t="shared" si="30"/>
        <v>6.1604429206937796E-2</v>
      </c>
      <c r="U33" s="28">
        <f t="shared" si="30"/>
        <v>7.0013976223236907E-2</v>
      </c>
      <c r="V33" s="28">
        <f t="shared" ref="V33:AB33" si="31">V8/V6</f>
        <v>5.6057518934576812E-2</v>
      </c>
      <c r="W33" s="28">
        <f t="shared" si="31"/>
        <v>5.573210065972669E-2</v>
      </c>
      <c r="X33" s="28">
        <f t="shared" si="31"/>
        <v>5.9398345552651048E-2</v>
      </c>
      <c r="Y33" s="28">
        <f t="shared" si="31"/>
        <v>4.5837193726375874E-2</v>
      </c>
      <c r="Z33" s="28">
        <f t="shared" si="31"/>
        <v>4.1082974137528087E-2</v>
      </c>
      <c r="AA33" s="28">
        <f t="shared" si="31"/>
        <v>3.9620535714285712E-2</v>
      </c>
      <c r="AB33" s="28">
        <f t="shared" si="31"/>
        <v>3.1852042124015385E-2</v>
      </c>
      <c r="AC33" s="28">
        <f t="shared" si="29"/>
        <v>4.3354058141488828E-2</v>
      </c>
      <c r="AD33" s="28">
        <f t="shared" si="29"/>
        <v>3.4692663582286849E-2</v>
      </c>
      <c r="AE33" s="28">
        <f t="shared" si="29"/>
        <v>3.1639080123040869E-2</v>
      </c>
      <c r="AF33" s="28">
        <f t="shared" si="29"/>
        <v>4.4359011840374211E-2</v>
      </c>
      <c r="AG33" s="28">
        <f t="shared" ref="AG33:AJ33" si="32">AG8/AG6</f>
        <v>5.0986093552465236E-2</v>
      </c>
      <c r="AH33" s="28">
        <f t="shared" si="32"/>
        <v>5.2202097235462347E-2</v>
      </c>
      <c r="AI33" s="28">
        <f t="shared" si="32"/>
        <v>5.6387096774193547E-2</v>
      </c>
      <c r="AJ33" s="28">
        <f t="shared" si="32"/>
        <v>5.8159939834544996E-2</v>
      </c>
    </row>
    <row r="34" spans="1:36" x14ac:dyDescent="0.3">
      <c r="A34" s="18" t="s">
        <v>74</v>
      </c>
      <c r="B34" s="17" t="s">
        <v>35</v>
      </c>
      <c r="C34" s="6" t="s">
        <v>54</v>
      </c>
      <c r="D34" s="27" t="e">
        <f t="shared" ref="D34:AF34" si="33">D11/D10</f>
        <v>#DIV/0!</v>
      </c>
      <c r="E34" s="27" t="e">
        <f t="shared" si="33"/>
        <v>#DIV/0!</v>
      </c>
      <c r="F34" s="27" t="e">
        <f t="shared" si="33"/>
        <v>#DIV/0!</v>
      </c>
      <c r="G34" s="27" t="e">
        <f t="shared" si="33"/>
        <v>#DIV/0!</v>
      </c>
      <c r="H34" s="27" t="e">
        <f t="shared" si="33"/>
        <v>#DIV/0!</v>
      </c>
      <c r="I34" s="27">
        <f t="shared" ref="I34:U34" si="34">I11/I10</f>
        <v>0.2280818221131001</v>
      </c>
      <c r="J34" s="27">
        <f t="shared" si="34"/>
        <v>0.19926338967348595</v>
      </c>
      <c r="K34" s="27">
        <f t="shared" si="34"/>
        <v>0.17375244875481125</v>
      </c>
      <c r="L34" s="27">
        <f t="shared" si="34"/>
        <v>0.2063808549468559</v>
      </c>
      <c r="M34" s="27">
        <f t="shared" si="34"/>
        <v>0.80555742217317672</v>
      </c>
      <c r="N34" s="27">
        <f t="shared" si="34"/>
        <v>0.13599372829195272</v>
      </c>
      <c r="O34" s="27">
        <f t="shared" si="34"/>
        <v>0.2072595735001431</v>
      </c>
      <c r="P34" s="27">
        <f t="shared" si="34"/>
        <v>0.15603559054572325</v>
      </c>
      <c r="Q34" s="27">
        <f t="shared" si="34"/>
        <v>0.16093083860578042</v>
      </c>
      <c r="R34" s="27">
        <f t="shared" si="34"/>
        <v>6.9820156944637085E-2</v>
      </c>
      <c r="S34" s="27">
        <f t="shared" si="34"/>
        <v>-0.47845491754033548</v>
      </c>
      <c r="T34" s="27">
        <f t="shared" si="34"/>
        <v>0.13851234254495812</v>
      </c>
      <c r="U34" s="27">
        <f t="shared" si="34"/>
        <v>0.33069711674680452</v>
      </c>
      <c r="V34" s="27">
        <f t="shared" ref="V34:AB34" si="35">V11/V10</f>
        <v>0.20946342297310189</v>
      </c>
      <c r="W34" s="27">
        <f t="shared" si="35"/>
        <v>-3.298132969679378</v>
      </c>
      <c r="X34" s="27">
        <f t="shared" si="35"/>
        <v>-0.46896841846603293</v>
      </c>
      <c r="Y34" s="27">
        <f t="shared" si="35"/>
        <v>0.14491273120582865</v>
      </c>
      <c r="Z34" s="27">
        <f t="shared" si="35"/>
        <v>0.1058172477832708</v>
      </c>
      <c r="AA34" s="27">
        <f t="shared" si="35"/>
        <v>0.11377245508982035</v>
      </c>
      <c r="AB34" s="27">
        <f t="shared" si="35"/>
        <v>9.3601207757519456E-2</v>
      </c>
      <c r="AC34" s="27">
        <f t="shared" si="33"/>
        <v>6.3063063063063057E-2</v>
      </c>
      <c r="AD34" s="27">
        <f t="shared" si="33"/>
        <v>7.8830748252940175E-2</v>
      </c>
      <c r="AE34" s="27">
        <f t="shared" si="33"/>
        <v>7.3409165842400273E-2</v>
      </c>
      <c r="AF34" s="27">
        <f t="shared" si="33"/>
        <v>0.15014044199480628</v>
      </c>
      <c r="AG34" s="27">
        <f t="shared" ref="AG34:AJ34" si="36">AG11/AG10</f>
        <v>0.23299380866786498</v>
      </c>
      <c r="AH34" s="27">
        <f t="shared" si="36"/>
        <v>0.21871710295459329</v>
      </c>
      <c r="AI34" s="27">
        <f t="shared" si="36"/>
        <v>0.1749271137026239</v>
      </c>
      <c r="AJ34" s="27">
        <f t="shared" si="36"/>
        <v>0.18230563002680966</v>
      </c>
    </row>
    <row r="35" spans="1:36" x14ac:dyDescent="0.3">
      <c r="A35" s="16" t="s">
        <v>75</v>
      </c>
      <c r="B35" s="2" t="s">
        <v>36</v>
      </c>
      <c r="C35" s="1" t="s">
        <v>108</v>
      </c>
      <c r="D35" s="28" t="e">
        <f t="shared" ref="D35:AF35" si="37">D12/D6</f>
        <v>#DIV/0!</v>
      </c>
      <c r="E35" s="28" t="e">
        <f t="shared" si="37"/>
        <v>#DIV/0!</v>
      </c>
      <c r="F35" s="28" t="e">
        <f t="shared" si="37"/>
        <v>#DIV/0!</v>
      </c>
      <c r="G35" s="28" t="e">
        <f t="shared" si="37"/>
        <v>#DIV/0!</v>
      </c>
      <c r="H35" s="28" t="e">
        <f t="shared" si="37"/>
        <v>#DIV/0!</v>
      </c>
      <c r="I35" s="28">
        <f t="shared" ref="I35:U35" si="38">I12/I6</f>
        <v>2.8327291603282137E-2</v>
      </c>
      <c r="J35" s="28">
        <f t="shared" si="38"/>
        <v>1.5493021633882876E-2</v>
      </c>
      <c r="K35" s="28">
        <f t="shared" si="38"/>
        <v>4.1788374806905358E-2</v>
      </c>
      <c r="L35" s="28">
        <f t="shared" si="38"/>
        <v>8.0656893320983046E-3</v>
      </c>
      <c r="M35" s="28">
        <f t="shared" si="38"/>
        <v>-8.9276212544098354E-3</v>
      </c>
      <c r="N35" s="28">
        <f t="shared" si="38"/>
        <v>1.8285001941178412E-2</v>
      </c>
      <c r="O35" s="28">
        <f t="shared" si="38"/>
        <v>5.923915295385862E-2</v>
      </c>
      <c r="P35" s="28">
        <f t="shared" si="38"/>
        <v>9.0348369457561487E-2</v>
      </c>
      <c r="Q35" s="28">
        <f t="shared" si="38"/>
        <v>6.8604898741689721E-2</v>
      </c>
      <c r="R35" s="28">
        <f t="shared" si="38"/>
        <v>6.837291207746507E-2</v>
      </c>
      <c r="S35" s="28">
        <f t="shared" si="38"/>
        <v>7.3001145506431967E-3</v>
      </c>
      <c r="T35" s="28">
        <f t="shared" si="38"/>
        <v>1.2995221338777875E-2</v>
      </c>
      <c r="U35" s="28">
        <f t="shared" si="38"/>
        <v>3.4124347981432782E-2</v>
      </c>
      <c r="V35" s="28">
        <f t="shared" ref="V35:AB35" si="39">V12/V6</f>
        <v>2.419167858125193E-2</v>
      </c>
      <c r="W35" s="28">
        <f t="shared" si="39"/>
        <v>1.5351958483979357E-2</v>
      </c>
      <c r="X35" s="28">
        <f t="shared" si="39"/>
        <v>9.6242985547203966E-2</v>
      </c>
      <c r="Y35" s="28">
        <f t="shared" si="39"/>
        <v>2.925415507627319E-2</v>
      </c>
      <c r="Z35" s="28">
        <f t="shared" si="39"/>
        <v>3.5254766131407433E-2</v>
      </c>
      <c r="AA35" s="28">
        <f t="shared" si="39"/>
        <v>3.9992559523809521E-2</v>
      </c>
      <c r="AB35" s="28">
        <f t="shared" si="39"/>
        <v>2.9027248636769021E-2</v>
      </c>
      <c r="AC35" s="28">
        <f t="shared" si="37"/>
        <v>3.7245841035120152E-2</v>
      </c>
      <c r="AD35" s="28">
        <f t="shared" si="37"/>
        <v>2.4686054196959684E-2</v>
      </c>
      <c r="AE35" s="28">
        <f t="shared" si="37"/>
        <v>1.0399882818221767E-2</v>
      </c>
      <c r="AF35" s="28">
        <f t="shared" si="37"/>
        <v>2.3278760415143984E-2</v>
      </c>
      <c r="AG35" s="28">
        <f t="shared" ref="AG35:AJ35" si="40">AG12/AG6</f>
        <v>2.5263379688158449E-2</v>
      </c>
      <c r="AH35" s="28">
        <f t="shared" si="40"/>
        <v>2.758954105951246E-2</v>
      </c>
      <c r="AI35" s="28">
        <f t="shared" si="40"/>
        <v>2.9677419354838711E-2</v>
      </c>
      <c r="AJ35" s="28">
        <f t="shared" si="40"/>
        <v>3.1085485083980947E-2</v>
      </c>
    </row>
    <row r="36" spans="1:36" x14ac:dyDescent="0.3">
      <c r="A36" s="18" t="s">
        <v>76</v>
      </c>
      <c r="B36" s="17" t="s">
        <v>37</v>
      </c>
      <c r="C36" s="6" t="s">
        <v>56</v>
      </c>
      <c r="D36" s="29" t="e">
        <f t="shared" ref="D36:H36" si="41">D26/D12</f>
        <v>#DIV/0!</v>
      </c>
      <c r="E36" s="29" t="e">
        <f t="shared" si="41"/>
        <v>#DIV/0!</v>
      </c>
      <c r="F36" s="29" t="e">
        <f t="shared" si="41"/>
        <v>#DIV/0!</v>
      </c>
      <c r="G36" s="29" t="e">
        <f t="shared" si="41"/>
        <v>#DIV/0!</v>
      </c>
      <c r="H36" s="29" t="e">
        <f t="shared" si="41"/>
        <v>#DIV/0!</v>
      </c>
      <c r="I36" s="29">
        <f t="shared" ref="I36:AF36" si="42">IF(I26/I12&lt;0,0,I26/I12)</f>
        <v>21.615474609834589</v>
      </c>
      <c r="J36" s="29">
        <f t="shared" si="42"/>
        <v>53.774062067007286</v>
      </c>
      <c r="K36" s="29">
        <f t="shared" si="42"/>
        <v>7.761951779224729</v>
      </c>
      <c r="L36" s="29">
        <f t="shared" si="42"/>
        <v>24.188120082663062</v>
      </c>
      <c r="M36" s="29">
        <f t="shared" si="42"/>
        <v>0</v>
      </c>
      <c r="N36" s="29">
        <f t="shared" si="42"/>
        <v>9.4150989410925199</v>
      </c>
      <c r="O36" s="29">
        <f t="shared" si="42"/>
        <v>4.198906285051585</v>
      </c>
      <c r="P36" s="29">
        <f t="shared" si="42"/>
        <v>2.9708974889315396</v>
      </c>
      <c r="Q36" s="29">
        <f t="shared" si="42"/>
        <v>7.2532595607007657</v>
      </c>
      <c r="R36" s="29">
        <f t="shared" si="42"/>
        <v>9.0598525908489353</v>
      </c>
      <c r="S36" s="29">
        <f t="shared" si="42"/>
        <v>22.36536968676609</v>
      </c>
      <c r="T36" s="29">
        <f t="shared" si="42"/>
        <v>23.634807986880777</v>
      </c>
      <c r="U36" s="29">
        <f t="shared" si="42"/>
        <v>7.3398757054019566</v>
      </c>
      <c r="V36" s="29">
        <f t="shared" si="42"/>
        <v>6.2196117947195511</v>
      </c>
      <c r="W36" s="29">
        <f t="shared" si="42"/>
        <v>17.94872542388287</v>
      </c>
      <c r="X36" s="29">
        <f t="shared" si="42"/>
        <v>4.243290786306896</v>
      </c>
      <c r="Y36" s="29">
        <f t="shared" si="42"/>
        <v>13.799811850235471</v>
      </c>
      <c r="Z36" s="29">
        <f t="shared" si="42"/>
        <v>11.127622218250718</v>
      </c>
      <c r="AA36" s="29">
        <f t="shared" si="42"/>
        <v>8.2196651162790708</v>
      </c>
      <c r="AB36" s="29">
        <f t="shared" si="42"/>
        <v>13.790527903469078</v>
      </c>
      <c r="AC36" s="29">
        <f t="shared" si="42"/>
        <v>7.4330701556508014</v>
      </c>
      <c r="AD36" s="29">
        <f t="shared" si="42"/>
        <v>12.395247657295851</v>
      </c>
      <c r="AE36" s="29">
        <f t="shared" si="42"/>
        <v>19.043746478873238</v>
      </c>
      <c r="AF36" s="29">
        <f t="shared" si="42"/>
        <v>12.596546310832023</v>
      </c>
      <c r="AG36" s="29">
        <f t="shared" ref="AG36:AJ36" si="43">IF(AG26/AG12&lt;0,0,AG26/AG12)</f>
        <v>11.342785654712261</v>
      </c>
      <c r="AH36" s="29">
        <f t="shared" si="43"/>
        <v>10.069598696875463</v>
      </c>
      <c r="AI36" s="29">
        <f t="shared" si="43"/>
        <v>8.8695652173913047</v>
      </c>
      <c r="AJ36" s="29">
        <f t="shared" si="43"/>
        <v>8.2258064516129039</v>
      </c>
    </row>
    <row r="37" spans="1:36" x14ac:dyDescent="0.3">
      <c r="A37" s="16" t="s">
        <v>77</v>
      </c>
      <c r="B37" s="2" t="s">
        <v>38</v>
      </c>
      <c r="C37" s="1" t="s">
        <v>57</v>
      </c>
      <c r="D37" s="30" t="e">
        <f t="shared" ref="D37:AF37" si="44">D26/D23</f>
        <v>#DIV/0!</v>
      </c>
      <c r="E37" s="30" t="e">
        <f t="shared" si="44"/>
        <v>#DIV/0!</v>
      </c>
      <c r="F37" s="30" t="e">
        <f t="shared" si="44"/>
        <v>#DIV/0!</v>
      </c>
      <c r="G37" s="30" t="e">
        <f t="shared" si="44"/>
        <v>#DIV/0!</v>
      </c>
      <c r="H37" s="30" t="e">
        <f t="shared" si="44"/>
        <v>#DIV/0!</v>
      </c>
      <c r="I37" s="30">
        <f t="shared" ref="I37:U37" si="45">I26/I23</f>
        <v>3.3589290961206117</v>
      </c>
      <c r="J37" s="30">
        <f t="shared" si="45"/>
        <v>3.0131136460169565</v>
      </c>
      <c r="K37" s="30">
        <f t="shared" si="45"/>
        <v>1.0983466334282179</v>
      </c>
      <c r="L37" s="30">
        <f t="shared" si="45"/>
        <v>1.4273663340204423</v>
      </c>
      <c r="M37" s="30">
        <f t="shared" si="45"/>
        <v>1.2052770561399497</v>
      </c>
      <c r="N37" s="30">
        <f t="shared" si="45"/>
        <v>1.8500554759815109</v>
      </c>
      <c r="O37" s="30">
        <f t="shared" si="45"/>
        <v>0.92374013235140917</v>
      </c>
      <c r="P37" s="30">
        <f t="shared" si="45"/>
        <v>1.2541835278793219</v>
      </c>
      <c r="Q37" s="30">
        <f t="shared" si="45"/>
        <v>1.4495309118063804</v>
      </c>
      <c r="R37" s="30">
        <f t="shared" si="45"/>
        <v>1.9974128850520345</v>
      </c>
      <c r="S37" s="30">
        <f t="shared" si="45"/>
        <v>0.55934429289629473</v>
      </c>
      <c r="T37" s="30">
        <f t="shared" si="45"/>
        <v>1.0228469472229051</v>
      </c>
      <c r="U37" s="30">
        <f t="shared" si="45"/>
        <v>0.78646850949221436</v>
      </c>
      <c r="V37" s="30">
        <f t="shared" ref="V37:AB37" si="46">V26/V23</f>
        <v>0.43938509933772307</v>
      </c>
      <c r="W37" s="30">
        <f t="shared" si="46"/>
        <v>0.771175044408276</v>
      </c>
      <c r="X37" s="30">
        <f t="shared" si="46"/>
        <v>1.031896241186897</v>
      </c>
      <c r="Y37" s="30">
        <f t="shared" si="46"/>
        <v>1.0643104878138887</v>
      </c>
      <c r="Z37" s="30">
        <f t="shared" si="46"/>
        <v>1.1860693397648479</v>
      </c>
      <c r="AA37" s="30">
        <f t="shared" si="46"/>
        <v>0.93321434229286582</v>
      </c>
      <c r="AB37" s="30">
        <f t="shared" si="46"/>
        <v>1.161945912972753</v>
      </c>
      <c r="AC37" s="30">
        <f t="shared" si="44"/>
        <v>0.79637470997679816</v>
      </c>
      <c r="AD37" s="30">
        <f t="shared" si="44"/>
        <v>0.86867905056759542</v>
      </c>
      <c r="AE37" s="30">
        <f t="shared" si="44"/>
        <v>0.67849558410277</v>
      </c>
      <c r="AF37" s="30">
        <f t="shared" si="44"/>
        <v>0.82605830999835272</v>
      </c>
      <c r="AG37" s="1"/>
      <c r="AH37" s="1"/>
      <c r="AI37" s="1"/>
      <c r="AJ37" s="1"/>
    </row>
    <row r="38" spans="1:36" x14ac:dyDescent="0.3">
      <c r="A38" s="18" t="s">
        <v>78</v>
      </c>
      <c r="B38" s="17" t="s">
        <v>39</v>
      </c>
      <c r="C38" s="6" t="s">
        <v>106</v>
      </c>
      <c r="D38" s="55" t="e">
        <f t="shared" ref="D38:AF38" si="47">D8/D23</f>
        <v>#DIV/0!</v>
      </c>
      <c r="E38" s="55" t="e">
        <f t="shared" si="47"/>
        <v>#DIV/0!</v>
      </c>
      <c r="F38" s="55" t="e">
        <f t="shared" si="47"/>
        <v>#DIV/0!</v>
      </c>
      <c r="G38" s="55" t="e">
        <f t="shared" si="47"/>
        <v>#DIV/0!</v>
      </c>
      <c r="H38" s="55" t="e">
        <f t="shared" si="47"/>
        <v>#DIV/0!</v>
      </c>
      <c r="I38" s="55">
        <f t="shared" ref="I38:U38" si="48">I8/I23</f>
        <v>0.28174109406291059</v>
      </c>
      <c r="J38" s="55">
        <f t="shared" si="48"/>
        <v>0.1236914430698015</v>
      </c>
      <c r="K38" s="55">
        <f t="shared" si="48"/>
        <v>0.11268805011292961</v>
      </c>
      <c r="L38" s="55">
        <f t="shared" si="48"/>
        <v>0.24293782532924155</v>
      </c>
      <c r="M38" s="55">
        <f t="shared" si="48"/>
        <v>0.34988014316655841</v>
      </c>
      <c r="N38" s="55">
        <f t="shared" si="48"/>
        <v>0.3015064495629004</v>
      </c>
      <c r="O38" s="55">
        <f t="shared" si="48"/>
        <v>0.31390490328587844</v>
      </c>
      <c r="P38" s="55">
        <f t="shared" si="48"/>
        <v>0.40252932378027756</v>
      </c>
      <c r="Q38" s="55">
        <f t="shared" si="48"/>
        <v>6.7468276206235273E-2</v>
      </c>
      <c r="R38" s="55">
        <f t="shared" si="48"/>
        <v>8.4908635899492366E-2</v>
      </c>
      <c r="S38" s="55">
        <f t="shared" si="48"/>
        <v>0.21247403345717375</v>
      </c>
      <c r="T38" s="55">
        <f t="shared" si="48"/>
        <v>0.20515723251769766</v>
      </c>
      <c r="U38" s="55">
        <f t="shared" si="48"/>
        <v>0.21984318795809113</v>
      </c>
      <c r="V38" s="55">
        <f t="shared" ref="V38:AB38" si="49">V8/V23</f>
        <v>0.16370046571424041</v>
      </c>
      <c r="W38" s="55">
        <f t="shared" si="49"/>
        <v>0.15597714933795856</v>
      </c>
      <c r="X38" s="55">
        <f t="shared" si="49"/>
        <v>0.15008541760112251</v>
      </c>
      <c r="Y38" s="55">
        <f t="shared" si="49"/>
        <v>0.12084415198995978</v>
      </c>
      <c r="Z38" s="55">
        <f t="shared" si="49"/>
        <v>0.1242086222490202</v>
      </c>
      <c r="AA38" s="55">
        <f t="shared" si="49"/>
        <v>0.11247821724665998</v>
      </c>
      <c r="AB38" s="55">
        <f t="shared" si="49"/>
        <v>9.2456283041886939E-2</v>
      </c>
      <c r="AC38" s="55">
        <f t="shared" si="47"/>
        <v>0.12470997679814384</v>
      </c>
      <c r="AD38" s="55">
        <f t="shared" si="47"/>
        <v>9.8489539356412414E-2</v>
      </c>
      <c r="AE38" s="55">
        <f t="shared" si="47"/>
        <v>0.10839020473705339</v>
      </c>
      <c r="AF38" s="55">
        <f t="shared" si="47"/>
        <v>0.12496293856036896</v>
      </c>
      <c r="AG38" s="1"/>
      <c r="AH38" s="1"/>
      <c r="AI38" s="1"/>
      <c r="AJ38" s="1"/>
    </row>
    <row r="39" spans="1:36" x14ac:dyDescent="0.3">
      <c r="A39" s="16" t="s">
        <v>79</v>
      </c>
      <c r="B39" s="2" t="s">
        <v>40</v>
      </c>
      <c r="C39" s="1" t="s">
        <v>107</v>
      </c>
      <c r="D39" s="56" t="e">
        <f t="shared" ref="D39:AF39" si="50">D12/D23</f>
        <v>#DIV/0!</v>
      </c>
      <c r="E39" s="56" t="e">
        <f t="shared" si="50"/>
        <v>#DIV/0!</v>
      </c>
      <c r="F39" s="56" t="e">
        <f t="shared" si="50"/>
        <v>#DIV/0!</v>
      </c>
      <c r="G39" s="56" t="e">
        <f t="shared" si="50"/>
        <v>#DIV/0!</v>
      </c>
      <c r="H39" s="56" t="e">
        <f t="shared" si="50"/>
        <v>#DIV/0!</v>
      </c>
      <c r="I39" s="56">
        <f t="shared" ref="I39:U39" si="51">I12/I23</f>
        <v>0.15539464928484009</v>
      </c>
      <c r="J39" s="56">
        <f t="shared" si="51"/>
        <v>5.6032844278387367E-2</v>
      </c>
      <c r="K39" s="56">
        <f t="shared" si="51"/>
        <v>0.14150392384142352</v>
      </c>
      <c r="L39" s="56">
        <f t="shared" si="51"/>
        <v>5.9011048776937122E-2</v>
      </c>
      <c r="M39" s="56">
        <f t="shared" si="51"/>
        <v>-0.10343088828844085</v>
      </c>
      <c r="N39" s="56">
        <f t="shared" si="51"/>
        <v>0.196498782174968</v>
      </c>
      <c r="O39" s="56">
        <f t="shared" si="51"/>
        <v>0.21999541538709541</v>
      </c>
      <c r="P39" s="56">
        <f t="shared" si="51"/>
        <v>0.42215644684878684</v>
      </c>
      <c r="Q39" s="56">
        <f t="shared" si="51"/>
        <v>0.19984544874971158</v>
      </c>
      <c r="R39" s="56">
        <f t="shared" si="51"/>
        <v>0.22046858544581141</v>
      </c>
      <c r="S39" s="56">
        <f t="shared" si="51"/>
        <v>2.5009391784266675E-2</v>
      </c>
      <c r="T39" s="56">
        <f t="shared" si="51"/>
        <v>4.3277142246751811E-2</v>
      </c>
      <c r="U39" s="56">
        <f t="shared" si="51"/>
        <v>0.10715011276190878</v>
      </c>
      <c r="V39" s="56">
        <f t="shared" ref="V39:AB39" si="52">V12/V23</f>
        <v>7.0645100343844747E-2</v>
      </c>
      <c r="W39" s="56">
        <f t="shared" si="52"/>
        <v>4.2965448865919909E-2</v>
      </c>
      <c r="X39" s="56">
        <f t="shared" si="52"/>
        <v>0.2431830136451707</v>
      </c>
      <c r="Y39" s="56">
        <f t="shared" si="52"/>
        <v>7.7124999917714668E-2</v>
      </c>
      <c r="Z39" s="56">
        <f t="shared" si="52"/>
        <v>0.1065878510702442</v>
      </c>
      <c r="AA39" s="56">
        <f t="shared" si="52"/>
        <v>0.11353435074193378</v>
      </c>
      <c r="AB39" s="56">
        <f t="shared" si="52"/>
        <v>8.4256811712078078E-2</v>
      </c>
      <c r="AC39" s="56">
        <f t="shared" si="50"/>
        <v>0.10713940448569219</v>
      </c>
      <c r="AD39" s="56">
        <f t="shared" si="50"/>
        <v>7.0081621165212493E-2</v>
      </c>
      <c r="AE39" s="56">
        <f t="shared" si="50"/>
        <v>3.5628261742272183E-2</v>
      </c>
      <c r="AF39" s="56">
        <f t="shared" si="50"/>
        <v>6.5578158458244107E-2</v>
      </c>
      <c r="AG39" s="1"/>
      <c r="AH39" s="1"/>
      <c r="AI39" s="1"/>
      <c r="AJ39" s="1"/>
    </row>
    <row r="40" spans="1:36" x14ac:dyDescent="0.3">
      <c r="A40" s="18" t="s">
        <v>80</v>
      </c>
      <c r="B40" s="17" t="s">
        <v>41</v>
      </c>
      <c r="C40" s="6" t="s">
        <v>61</v>
      </c>
      <c r="D40" s="7">
        <f t="shared" ref="D40:AF40" si="53">D20-D19</f>
        <v>0</v>
      </c>
      <c r="E40" s="7">
        <f t="shared" si="53"/>
        <v>0</v>
      </c>
      <c r="F40" s="7">
        <f t="shared" si="53"/>
        <v>0</v>
      </c>
      <c r="G40" s="7">
        <f t="shared" si="53"/>
        <v>0</v>
      </c>
      <c r="H40" s="7">
        <f t="shared" si="53"/>
        <v>0</v>
      </c>
      <c r="I40" s="7">
        <f t="shared" ref="I40:U40" si="54">I20-I19</f>
        <v>-259.52363500000001</v>
      </c>
      <c r="J40" s="7">
        <f t="shared" si="54"/>
        <v>-444.98779500000001</v>
      </c>
      <c r="K40" s="7">
        <f t="shared" si="54"/>
        <v>-728.7373849999999</v>
      </c>
      <c r="L40" s="7">
        <f t="shared" si="54"/>
        <v>-1003.4514779999997</v>
      </c>
      <c r="M40" s="7">
        <f t="shared" si="54"/>
        <v>-761.11069799999996</v>
      </c>
      <c r="N40" s="7">
        <f t="shared" si="54"/>
        <v>-645.96451399999978</v>
      </c>
      <c r="O40" s="7">
        <f t="shared" si="54"/>
        <v>-821.23563300000023</v>
      </c>
      <c r="P40" s="7">
        <f t="shared" si="54"/>
        <v>128.60108199999991</v>
      </c>
      <c r="Q40" s="7">
        <f t="shared" si="54"/>
        <v>-300.46909599999981</v>
      </c>
      <c r="R40" s="7">
        <f t="shared" si="54"/>
        <v>-404.51259500000015</v>
      </c>
      <c r="S40" s="7">
        <f t="shared" si="54"/>
        <v>-758.82837700000005</v>
      </c>
      <c r="T40" s="7">
        <f t="shared" si="54"/>
        <v>-845.77898999999979</v>
      </c>
      <c r="U40" s="7">
        <f t="shared" si="54"/>
        <v>-738.22251299999994</v>
      </c>
      <c r="V40" s="7">
        <f t="shared" ref="V40:AB40" si="55">V20-V19</f>
        <v>-902.0503920000001</v>
      </c>
      <c r="W40" s="7">
        <f t="shared" si="55"/>
        <v>-920.78189899999984</v>
      </c>
      <c r="X40" s="7">
        <f t="shared" si="55"/>
        <v>-479.40912900000012</v>
      </c>
      <c r="Y40" s="7">
        <f t="shared" si="55"/>
        <v>-500.79292099999998</v>
      </c>
      <c r="Z40" s="7">
        <f t="shared" si="55"/>
        <v>-668.734105</v>
      </c>
      <c r="AA40" s="7">
        <f t="shared" si="55"/>
        <v>-676.00672300000019</v>
      </c>
      <c r="AB40" s="7">
        <f t="shared" si="55"/>
        <v>-663.43490400000019</v>
      </c>
      <c r="AC40" s="7">
        <f t="shared" si="53"/>
        <v>-766.69999999999982</v>
      </c>
      <c r="AD40" s="7">
        <f t="shared" si="53"/>
        <v>-596.69999999999982</v>
      </c>
      <c r="AE40" s="7">
        <f t="shared" si="53"/>
        <v>-488.40000000000009</v>
      </c>
      <c r="AF40" s="7">
        <f t="shared" si="53"/>
        <v>-612.5</v>
      </c>
      <c r="AG40" s="1"/>
      <c r="AH40" s="1"/>
      <c r="AI40" s="1"/>
      <c r="AJ40" s="1"/>
    </row>
    <row r="41" spans="1:36" x14ac:dyDescent="0.3">
      <c r="A41" s="53" t="s">
        <v>96</v>
      </c>
      <c r="B41" s="49" t="s">
        <v>42</v>
      </c>
      <c r="C41" s="52" t="s">
        <v>98</v>
      </c>
      <c r="D41" s="57" t="e">
        <f>D20/D19</f>
        <v>#DIV/0!</v>
      </c>
      <c r="E41" s="57" t="e">
        <f t="shared" ref="E41:AF41" si="56">E20/E19</f>
        <v>#DIV/0!</v>
      </c>
      <c r="F41" s="57" t="e">
        <f t="shared" si="56"/>
        <v>#DIV/0!</v>
      </c>
      <c r="G41" s="57" t="e">
        <f t="shared" si="56"/>
        <v>#DIV/0!</v>
      </c>
      <c r="H41" s="57" t="e">
        <f t="shared" si="56"/>
        <v>#DIV/0!</v>
      </c>
      <c r="I41" s="57">
        <f t="shared" ref="I41:U41" si="57">I20/I19</f>
        <v>0.72250931042161126</v>
      </c>
      <c r="J41" s="57">
        <f t="shared" si="57"/>
        <v>0.74855165524523526</v>
      </c>
      <c r="K41" s="57">
        <f t="shared" si="57"/>
        <v>0.72046371955644395</v>
      </c>
      <c r="L41" s="57">
        <f t="shared" si="57"/>
        <v>0.667478095356836</v>
      </c>
      <c r="M41" s="57">
        <f t="shared" si="57"/>
        <v>0.71247065262805609</v>
      </c>
      <c r="N41" s="57">
        <f t="shared" si="57"/>
        <v>0.74880999742849752</v>
      </c>
      <c r="O41" s="57">
        <f t="shared" si="57"/>
        <v>0.71419117629542517</v>
      </c>
      <c r="P41" s="57">
        <f t="shared" si="57"/>
        <v>1.0629300200615301</v>
      </c>
      <c r="Q41" s="57">
        <f t="shared" si="57"/>
        <v>0.85290561289984856</v>
      </c>
      <c r="R41" s="57">
        <f t="shared" si="57"/>
        <v>0.77820784845940627</v>
      </c>
      <c r="S41" s="57">
        <f t="shared" si="57"/>
        <v>0.65250872440664476</v>
      </c>
      <c r="T41" s="57">
        <f t="shared" si="57"/>
        <v>0.6305364179300359</v>
      </c>
      <c r="U41" s="57">
        <f t="shared" si="57"/>
        <v>0.6696709626847912</v>
      </c>
      <c r="V41" s="57">
        <f t="shared" ref="V41:AB41" si="58">V20/V19</f>
        <v>0.65193946991052154</v>
      </c>
      <c r="W41" s="57">
        <f t="shared" si="58"/>
        <v>0.60661511451499139</v>
      </c>
      <c r="X41" s="57">
        <f t="shared" si="58"/>
        <v>0.75821904934683315</v>
      </c>
      <c r="Y41" s="57">
        <f t="shared" si="58"/>
        <v>0.74743453723477959</v>
      </c>
      <c r="Z41" s="57">
        <f t="shared" si="58"/>
        <v>0.66718099138373843</v>
      </c>
      <c r="AA41" s="57">
        <f t="shared" si="58"/>
        <v>0.67263543270875303</v>
      </c>
      <c r="AB41" s="57">
        <f t="shared" si="58"/>
        <v>0.68177129537384074</v>
      </c>
      <c r="AC41" s="57">
        <f t="shared" si="56"/>
        <v>0.69751844399731733</v>
      </c>
      <c r="AD41" s="57">
        <f t="shared" si="56"/>
        <v>0.73662605932203395</v>
      </c>
      <c r="AE41" s="57">
        <f t="shared" si="56"/>
        <v>0.78777212879676706</v>
      </c>
      <c r="AF41" s="57">
        <f t="shared" si="56"/>
        <v>0.7437881703338074</v>
      </c>
      <c r="AG41" s="1"/>
      <c r="AH41" s="1"/>
      <c r="AI41" s="1"/>
      <c r="AJ41" s="1"/>
    </row>
    <row r="42" spans="1:36" x14ac:dyDescent="0.3">
      <c r="A42" s="16" t="s">
        <v>81</v>
      </c>
      <c r="B42" s="17" t="s">
        <v>43</v>
      </c>
      <c r="C42" s="1" t="s">
        <v>60</v>
      </c>
      <c r="D42" s="30" t="e">
        <f t="shared" ref="D42" si="59">(D20-D21)/D19</f>
        <v>#DIV/0!</v>
      </c>
      <c r="E42" s="30" t="e">
        <f t="shared" ref="E42:AF42" si="60">(E20-E21)/E19</f>
        <v>#DIV/0!</v>
      </c>
      <c r="F42" s="30" t="e">
        <f t="shared" si="60"/>
        <v>#DIV/0!</v>
      </c>
      <c r="G42" s="30" t="e">
        <f t="shared" si="60"/>
        <v>#DIV/0!</v>
      </c>
      <c r="H42" s="30" t="e">
        <f t="shared" si="60"/>
        <v>#DIV/0!</v>
      </c>
      <c r="I42" s="30">
        <f t="shared" ref="I42:U42" si="61">(I20-I21)/I19</f>
        <v>0.42658861395154823</v>
      </c>
      <c r="J42" s="30">
        <f t="shared" si="61"/>
        <v>0.397178777859097</v>
      </c>
      <c r="K42" s="30">
        <f t="shared" si="61"/>
        <v>0.44386107576689526</v>
      </c>
      <c r="L42" s="30">
        <f t="shared" si="61"/>
        <v>0.41076285413066754</v>
      </c>
      <c r="M42" s="30">
        <f t="shared" si="61"/>
        <v>0.45687683505135712</v>
      </c>
      <c r="N42" s="30">
        <f t="shared" si="61"/>
        <v>0.48434899522982344</v>
      </c>
      <c r="O42" s="30">
        <f t="shared" si="61"/>
        <v>0.47967281592599792</v>
      </c>
      <c r="P42" s="30">
        <f t="shared" si="61"/>
        <v>0.83759699112946295</v>
      </c>
      <c r="Q42" s="30">
        <f t="shared" si="61"/>
        <v>0.61734156211976432</v>
      </c>
      <c r="R42" s="30">
        <f t="shared" si="61"/>
        <v>0.51398283023941926</v>
      </c>
      <c r="S42" s="30">
        <f t="shared" si="61"/>
        <v>0.39586882247589605</v>
      </c>
      <c r="T42" s="30">
        <f t="shared" si="61"/>
        <v>0.36712514756074993</v>
      </c>
      <c r="U42" s="30">
        <f t="shared" si="61"/>
        <v>0.36445303787638772</v>
      </c>
      <c r="V42" s="30">
        <f t="shared" ref="V42:AA42" si="62">(V20-V21)/V19</f>
        <v>0.40084326126190611</v>
      </c>
      <c r="W42" s="30">
        <f t="shared" si="62"/>
        <v>0.37655811262946121</v>
      </c>
      <c r="X42" s="30">
        <f t="shared" si="62"/>
        <v>0.46119329637788758</v>
      </c>
      <c r="Y42" s="30">
        <f t="shared" si="62"/>
        <v>0.45040878426583403</v>
      </c>
      <c r="Z42" s="30">
        <f t="shared" si="62"/>
        <v>0.35126795338265365</v>
      </c>
      <c r="AA42" s="30">
        <f t="shared" si="62"/>
        <v>0.33544359651913691</v>
      </c>
      <c r="AB42" s="30">
        <f>(AB20-AA21)/AB19</f>
        <v>0.34777824542241009</v>
      </c>
      <c r="AC42" s="30">
        <f>(AC20-AB21)/AC19</f>
        <v>0.41610446995699696</v>
      </c>
      <c r="AD42" s="30">
        <f>(AD20-AC21)/AD19</f>
        <v>0.44032485875706223</v>
      </c>
      <c r="AE42" s="30">
        <f>(AE20-AD21)/AE19</f>
        <v>0.49928301394863767</v>
      </c>
      <c r="AF42" s="30">
        <f t="shared" si="60"/>
        <v>0.49815945787668364</v>
      </c>
      <c r="AG42" s="1"/>
      <c r="AH42" s="1"/>
      <c r="AI42" s="1"/>
      <c r="AJ42" s="1"/>
    </row>
    <row r="43" spans="1:36" x14ac:dyDescent="0.3">
      <c r="A43" s="18" t="s">
        <v>82</v>
      </c>
      <c r="B43" s="49" t="s">
        <v>44</v>
      </c>
      <c r="C43" s="6" t="s">
        <v>62</v>
      </c>
      <c r="D43" s="29" t="e">
        <f t="shared" ref="D43" si="63">D14/D19</f>
        <v>#DIV/0!</v>
      </c>
      <c r="E43" s="29" t="e">
        <f t="shared" ref="E43:H43" si="64">E14/E19</f>
        <v>#DIV/0!</v>
      </c>
      <c r="F43" s="29" t="e">
        <f t="shared" si="64"/>
        <v>#DIV/0!</v>
      </c>
      <c r="G43" s="29" t="e">
        <f t="shared" si="64"/>
        <v>#DIV/0!</v>
      </c>
      <c r="H43" s="29" t="e">
        <f t="shared" si="64"/>
        <v>#DIV/0!</v>
      </c>
      <c r="I43" s="29">
        <f t="shared" ref="I43:U43" si="65">I14/I19</f>
        <v>0.13189711601535364</v>
      </c>
      <c r="J43" s="29">
        <f t="shared" si="65"/>
        <v>5.9073032177181795E-2</v>
      </c>
      <c r="K43" s="29">
        <f t="shared" si="65"/>
        <v>4.7499017105613821E-2</v>
      </c>
      <c r="L43" s="29">
        <f t="shared" si="65"/>
        <v>8.7238264853848752E-2</v>
      </c>
      <c r="M43" s="29">
        <f t="shared" si="65"/>
        <v>0.19207668233344874</v>
      </c>
      <c r="N43" s="29">
        <f t="shared" si="65"/>
        <v>0.20399708707493555</v>
      </c>
      <c r="O43" s="29">
        <f t="shared" si="65"/>
        <v>0.16060480035706037</v>
      </c>
      <c r="P43" s="29">
        <f t="shared" si="65"/>
        <v>0.43728707249007154</v>
      </c>
      <c r="Q43" s="29">
        <f t="shared" si="65"/>
        <v>0.31762500025193424</v>
      </c>
      <c r="R43" s="29">
        <f t="shared" si="65"/>
        <v>0.35141072120109218</v>
      </c>
      <c r="S43" s="29">
        <f t="shared" si="65"/>
        <v>6.5468602706965348E-2</v>
      </c>
      <c r="T43" s="29">
        <f t="shared" si="65"/>
        <v>6.4854854871584794E-2</v>
      </c>
      <c r="U43" s="29">
        <f t="shared" si="65"/>
        <v>0.10626137010718123</v>
      </c>
      <c r="V43" s="29">
        <f t="shared" ref="V43:Z43" si="66">V14/V19</f>
        <v>0.18863759264373323</v>
      </c>
      <c r="W43" s="29">
        <f t="shared" si="66"/>
        <v>0.15524136978163169</v>
      </c>
      <c r="X43" s="29">
        <f t="shared" si="66"/>
        <v>0.18451935838426006</v>
      </c>
      <c r="Y43" s="29">
        <f t="shared" si="66"/>
        <v>0.29668369037593117</v>
      </c>
      <c r="Z43" s="29">
        <f t="shared" si="66"/>
        <v>0.18051039048639231</v>
      </c>
      <c r="AA43" s="29">
        <f t="shared" ref="AA43:AF43" si="67">Z14/AA19</f>
        <v>0.1756419344908427</v>
      </c>
      <c r="AB43" s="29">
        <f t="shared" si="67"/>
        <v>0.16361486333251904</v>
      </c>
      <c r="AC43" s="29">
        <f t="shared" si="67"/>
        <v>0.14384345287410741</v>
      </c>
      <c r="AD43" s="29">
        <f t="shared" si="67"/>
        <v>0.30729166666666669</v>
      </c>
      <c r="AE43" s="29">
        <f t="shared" si="67"/>
        <v>0.26498066310346324</v>
      </c>
      <c r="AF43" s="29">
        <f t="shared" si="67"/>
        <v>0.31929222789257927</v>
      </c>
      <c r="AG43" s="1"/>
      <c r="AH43" s="1"/>
      <c r="AI43" s="1"/>
      <c r="AJ43" s="1"/>
    </row>
    <row r="44" spans="1:36" x14ac:dyDescent="0.3">
      <c r="A44" s="16" t="s">
        <v>83</v>
      </c>
      <c r="B44" s="17" t="s">
        <v>45</v>
      </c>
      <c r="C44" s="1" t="s">
        <v>63</v>
      </c>
      <c r="D44" s="30" t="e">
        <f t="shared" ref="D44:AF44" si="68">D29/D7</f>
        <v>#DIV/0!</v>
      </c>
      <c r="E44" s="30" t="e">
        <f t="shared" si="68"/>
        <v>#DIV/0!</v>
      </c>
      <c r="F44" s="30" t="e">
        <f t="shared" si="68"/>
        <v>#DIV/0!</v>
      </c>
      <c r="G44" s="30" t="e">
        <f t="shared" si="68"/>
        <v>#DIV/0!</v>
      </c>
      <c r="H44" s="30" t="e">
        <f t="shared" si="68"/>
        <v>#DIV/0!</v>
      </c>
      <c r="I44" s="30">
        <f t="shared" ref="I44:U44" si="69">I29/I7</f>
        <v>3.5328947138649869</v>
      </c>
      <c r="J44" s="30">
        <f t="shared" si="69"/>
        <v>7.1221407056848678</v>
      </c>
      <c r="K44" s="30">
        <f t="shared" si="69"/>
        <v>12.262874246572688</v>
      </c>
      <c r="L44" s="30">
        <f t="shared" si="69"/>
        <v>16.043445097587778</v>
      </c>
      <c r="M44" s="30">
        <f t="shared" si="69"/>
        <v>6.0492894313017755</v>
      </c>
      <c r="N44" s="30">
        <f t="shared" si="69"/>
        <v>3.1759465440656793</v>
      </c>
      <c r="O44" s="30">
        <f t="shared" si="69"/>
        <v>2.916065650237468</v>
      </c>
      <c r="P44" s="30">
        <f t="shared" si="69"/>
        <v>1.7670854801604854</v>
      </c>
      <c r="Q44" s="30">
        <f t="shared" si="69"/>
        <v>6.0991415284774515</v>
      </c>
      <c r="R44" s="30">
        <f t="shared" si="69"/>
        <v>5.182729338260053</v>
      </c>
      <c r="S44" s="30">
        <f t="shared" si="69"/>
        <v>5.1869002258064523</v>
      </c>
      <c r="T44" s="30">
        <f t="shared" si="69"/>
        <v>4.5966548605697151</v>
      </c>
      <c r="U44" s="30">
        <f t="shared" si="69"/>
        <v>3.8793225279542671</v>
      </c>
      <c r="V44" s="30">
        <f t="shared" ref="V44:AB44" si="70">V29/V7</f>
        <v>4.5268312330848453</v>
      </c>
      <c r="W44" s="30">
        <f t="shared" si="70"/>
        <v>5.567575682335236</v>
      </c>
      <c r="X44" s="30">
        <f t="shared" si="70"/>
        <v>2.6743640251635883</v>
      </c>
      <c r="Y44" s="30">
        <f t="shared" si="70"/>
        <v>2.4080616906474819</v>
      </c>
      <c r="Z44" s="30">
        <f t="shared" si="70"/>
        <v>3.1203562340966919</v>
      </c>
      <c r="AA44" s="30">
        <f t="shared" si="70"/>
        <v>3.8321874999999999</v>
      </c>
      <c r="AB44" s="30">
        <f t="shared" si="70"/>
        <v>3.1066097542494884</v>
      </c>
      <c r="AC44" s="30">
        <f t="shared" si="68"/>
        <v>2.9490813648293961</v>
      </c>
      <c r="AD44" s="30">
        <f t="shared" si="68"/>
        <v>3.5395683453237412</v>
      </c>
      <c r="AE44" s="30">
        <f t="shared" si="68"/>
        <v>3.7545166402535664</v>
      </c>
      <c r="AF44" s="30">
        <f t="shared" si="68"/>
        <v>3.8674638764324869</v>
      </c>
      <c r="AG44" s="1"/>
      <c r="AH44" s="1"/>
      <c r="AI44" s="1"/>
      <c r="AJ44" s="1"/>
    </row>
    <row r="45" spans="1:36" x14ac:dyDescent="0.3">
      <c r="A45" s="18" t="s">
        <v>84</v>
      </c>
      <c r="B45" s="54" t="s">
        <v>99</v>
      </c>
      <c r="C45" s="6" t="s">
        <v>64</v>
      </c>
      <c r="D45" s="29" t="e">
        <f t="shared" ref="D45:AF45" si="71">D18/D23</f>
        <v>#DIV/0!</v>
      </c>
      <c r="E45" s="29" t="e">
        <f t="shared" si="71"/>
        <v>#DIV/0!</v>
      </c>
      <c r="F45" s="29" t="e">
        <f t="shared" si="71"/>
        <v>#DIV/0!</v>
      </c>
      <c r="G45" s="29" t="e">
        <f t="shared" si="71"/>
        <v>#DIV/0!</v>
      </c>
      <c r="H45" s="29" t="e">
        <f t="shared" si="71"/>
        <v>#DIV/0!</v>
      </c>
      <c r="I45" s="29">
        <f t="shared" ref="I45:U45" si="72">I18/I23</f>
        <v>3.4532926376955242</v>
      </c>
      <c r="J45" s="29">
        <f t="shared" si="72"/>
        <v>3.4404647309406111</v>
      </c>
      <c r="K45" s="29">
        <f t="shared" si="72"/>
        <v>2.9112582903670718</v>
      </c>
      <c r="L45" s="29">
        <f t="shared" si="72"/>
        <v>6.8806945870175324</v>
      </c>
      <c r="M45" s="29">
        <f t="shared" si="72"/>
        <v>12.132605573883664</v>
      </c>
      <c r="N45" s="29">
        <f t="shared" si="72"/>
        <v>10.888612017047686</v>
      </c>
      <c r="O45" s="29">
        <f t="shared" si="72"/>
        <v>3.5479917869939683</v>
      </c>
      <c r="P45" s="29">
        <f t="shared" si="72"/>
        <v>3.1074394140746375</v>
      </c>
      <c r="Q45" s="29">
        <f t="shared" si="72"/>
        <v>2.7297876014897562</v>
      </c>
      <c r="R45" s="29">
        <f t="shared" si="72"/>
        <v>3.3425479805809291</v>
      </c>
      <c r="S45" s="29">
        <f t="shared" si="72"/>
        <v>3.6758305597328196</v>
      </c>
      <c r="T45" s="29">
        <f t="shared" si="72"/>
        <v>3.4391700372976146</v>
      </c>
      <c r="U45" s="29">
        <f t="shared" si="72"/>
        <v>3.0567079539517361</v>
      </c>
      <c r="V45" s="29">
        <f t="shared" ref="V45:AB45" si="73">V18/V23</f>
        <v>2.9393532093004624</v>
      </c>
      <c r="W45" s="29">
        <f t="shared" si="73"/>
        <v>2.6171065834360188</v>
      </c>
      <c r="X45" s="29">
        <f t="shared" si="73"/>
        <v>1.8701351175500383</v>
      </c>
      <c r="Y45" s="29">
        <f t="shared" si="73"/>
        <v>1.8913308533915536</v>
      </c>
      <c r="Z45" s="29">
        <f t="shared" si="73"/>
        <v>2.1543563460958697</v>
      </c>
      <c r="AA45" s="29">
        <f t="shared" si="73"/>
        <v>1.9097005861540899</v>
      </c>
      <c r="AB45" s="29">
        <f t="shared" si="73"/>
        <v>1.8490239934932899</v>
      </c>
      <c r="AC45" s="29">
        <f t="shared" si="71"/>
        <v>3.3285962877030157</v>
      </c>
      <c r="AD45" s="29">
        <f t="shared" si="71"/>
        <v>3.2425649685711604</v>
      </c>
      <c r="AE45" s="29">
        <f t="shared" si="71"/>
        <v>3.0891710156563632</v>
      </c>
      <c r="AF45" s="29">
        <f t="shared" si="71"/>
        <v>2.3618843683083512</v>
      </c>
      <c r="AG45" s="1"/>
      <c r="AH45" s="1"/>
      <c r="AI45" s="1"/>
      <c r="AJ45" s="1"/>
    </row>
    <row r="46" spans="1:36" x14ac:dyDescent="0.3">
      <c r="A46" s="18" t="s">
        <v>97</v>
      </c>
      <c r="B46" s="17" t="s">
        <v>100</v>
      </c>
      <c r="C46" s="6" t="s">
        <v>111</v>
      </c>
      <c r="D46" s="28">
        <f t="shared" ref="D46:AJ46" si="74">D13/D4</f>
        <v>0</v>
      </c>
      <c r="E46" s="28">
        <f t="shared" si="74"/>
        <v>0</v>
      </c>
      <c r="F46" s="28">
        <f t="shared" si="74"/>
        <v>0</v>
      </c>
      <c r="G46" s="28">
        <f t="shared" si="74"/>
        <v>0</v>
      </c>
      <c r="H46" s="28">
        <f t="shared" si="74"/>
        <v>0</v>
      </c>
      <c r="I46" s="28">
        <f t="shared" ref="I46:U46" si="75">I13/I4</f>
        <v>2.9698998332725473E-2</v>
      </c>
      <c r="J46" s="28">
        <f t="shared" si="75"/>
        <v>1.3689719352023235E-2</v>
      </c>
      <c r="K46" s="28">
        <f t="shared" si="75"/>
        <v>2.5157055772960114E-2</v>
      </c>
      <c r="L46" s="28">
        <f t="shared" si="75"/>
        <v>4.4709878713570503E-2</v>
      </c>
      <c r="M46" s="28">
        <f t="shared" si="75"/>
        <v>2.0880810809982876E-2</v>
      </c>
      <c r="N46" s="28">
        <f t="shared" si="75"/>
        <v>6.0006375029926454E-3</v>
      </c>
      <c r="O46" s="28">
        <f t="shared" si="75"/>
        <v>2.3084419087279501E-2</v>
      </c>
      <c r="P46" s="28">
        <f t="shared" si="75"/>
        <v>2.602138793339814E-2</v>
      </c>
      <c r="Q46" s="28">
        <f t="shared" si="75"/>
        <v>2.1241677216730776E-2</v>
      </c>
      <c r="R46" s="28">
        <f t="shared" si="75"/>
        <v>2.434819740913164E-2</v>
      </c>
      <c r="S46" s="28">
        <f t="shared" si="75"/>
        <v>7.1311917620137305E-2</v>
      </c>
      <c r="T46" s="28">
        <f t="shared" si="75"/>
        <v>3.4725501724137929E-2</v>
      </c>
      <c r="U46" s="28">
        <f t="shared" si="75"/>
        <v>4.7068326434708957E-2</v>
      </c>
      <c r="V46" s="28">
        <f t="shared" ref="V46:AB46" si="76">V13/V4</f>
        <v>8.8748396706429047E-2</v>
      </c>
      <c r="W46" s="28">
        <f t="shared" si="76"/>
        <v>6.5186578444469831E-2</v>
      </c>
      <c r="X46" s="28">
        <f t="shared" si="76"/>
        <v>4.4974401883621562E-2</v>
      </c>
      <c r="Y46" s="28">
        <f t="shared" si="76"/>
        <v>3.5638386027536967E-2</v>
      </c>
      <c r="Z46" s="28">
        <f t="shared" si="76"/>
        <v>7.7749953738912581E-2</v>
      </c>
      <c r="AA46" s="28">
        <f t="shared" si="76"/>
        <v>1.5208297967211927E-3</v>
      </c>
      <c r="AB46" s="28">
        <f t="shared" si="76"/>
        <v>3.4883626595735379E-2</v>
      </c>
      <c r="AC46" s="28">
        <f t="shared" si="74"/>
        <v>4.9382716049382713E-2</v>
      </c>
      <c r="AD46" s="28">
        <f t="shared" si="74"/>
        <v>4.3956043956043953E-2</v>
      </c>
      <c r="AE46" s="28">
        <f t="shared" si="74"/>
        <v>7.5585789871504161E-2</v>
      </c>
      <c r="AF46" s="28">
        <f t="shared" si="74"/>
        <v>4.9850448654037892E-2</v>
      </c>
      <c r="AG46" s="28">
        <f t="shared" si="74"/>
        <v>4.9019607843137254E-2</v>
      </c>
      <c r="AH46" s="28">
        <f t="shared" si="74"/>
        <v>4.9019607843137254E-2</v>
      </c>
      <c r="AI46" s="28">
        <f t="shared" si="74"/>
        <v>4.9019607843137254E-2</v>
      </c>
      <c r="AJ46" s="28">
        <f t="shared" si="74"/>
        <v>4.9019607843137254E-2</v>
      </c>
    </row>
  </sheetData>
  <mergeCells count="2">
    <mergeCell ref="A6:A13"/>
    <mergeCell ref="A14:A23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F61AA-5661-4C51-A45E-B83CAAFD29F5}">
  <sheetPr codeName="Planilha40"/>
  <dimension ref="A3:AC46"/>
  <sheetViews>
    <sheetView workbookViewId="0">
      <pane xSplit="3" ySplit="3" topLeftCell="L28" activePane="bottomRight" state="frozen"/>
      <selection activeCell="C22" sqref="C22"/>
      <selection pane="topRight" activeCell="C22" sqref="C22"/>
      <selection pane="bottomLeft" activeCell="C22" sqref="C22"/>
      <selection pane="bottomRight" activeCell="AE35" sqref="AE35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28" width="8.33203125" customWidth="1"/>
  </cols>
  <sheetData>
    <row r="3" spans="1:29" s="10" customFormat="1" x14ac:dyDescent="0.3">
      <c r="A3" s="9" t="s">
        <v>25</v>
      </c>
      <c r="B3" s="8" t="s">
        <v>23</v>
      </c>
      <c r="C3" s="9" t="s">
        <v>24</v>
      </c>
      <c r="D3" s="8">
        <v>97</v>
      </c>
      <c r="E3" s="8">
        <v>98</v>
      </c>
      <c r="F3" s="8">
        <v>99</v>
      </c>
      <c r="G3" s="8">
        <v>2000</v>
      </c>
      <c r="H3" s="8">
        <v>1</v>
      </c>
      <c r="I3" s="8">
        <v>2</v>
      </c>
      <c r="J3" s="8">
        <v>3</v>
      </c>
      <c r="K3" s="8">
        <v>4</v>
      </c>
      <c r="L3" s="8">
        <v>5</v>
      </c>
      <c r="M3" s="8">
        <v>6</v>
      </c>
      <c r="N3" s="8">
        <v>7</v>
      </c>
      <c r="O3" s="8">
        <v>8</v>
      </c>
      <c r="P3" s="8">
        <v>9</v>
      </c>
      <c r="Q3" s="8">
        <v>10</v>
      </c>
      <c r="R3" s="8">
        <v>11</v>
      </c>
      <c r="S3" s="8">
        <v>12</v>
      </c>
      <c r="T3" s="8">
        <v>13</v>
      </c>
      <c r="U3" s="8">
        <v>14</v>
      </c>
      <c r="V3" s="8">
        <v>15</v>
      </c>
      <c r="W3" s="8">
        <v>16</v>
      </c>
      <c r="X3" s="8">
        <v>17</v>
      </c>
      <c r="Y3" s="8">
        <v>18</v>
      </c>
      <c r="Z3" s="8">
        <v>19</v>
      </c>
      <c r="AA3" s="8">
        <v>20</v>
      </c>
      <c r="AB3" s="8" t="s">
        <v>3</v>
      </c>
      <c r="AC3" s="8" t="s">
        <v>94</v>
      </c>
    </row>
    <row r="4" spans="1:29" x14ac:dyDescent="0.3">
      <c r="A4" s="4" t="s">
        <v>5</v>
      </c>
      <c r="B4" s="11">
        <v>1</v>
      </c>
      <c r="C4" s="6" t="s">
        <v>4</v>
      </c>
      <c r="D4" s="19">
        <v>7.48</v>
      </c>
      <c r="E4" s="19">
        <v>4.6900000000000004</v>
      </c>
      <c r="F4" s="19">
        <v>4.2</v>
      </c>
      <c r="G4" s="19">
        <v>4.4400000000000004</v>
      </c>
      <c r="H4" s="19">
        <v>2.75</v>
      </c>
      <c r="I4" s="19">
        <v>2.86</v>
      </c>
      <c r="J4" s="19">
        <v>2.78</v>
      </c>
      <c r="K4" s="19">
        <v>2.58</v>
      </c>
      <c r="L4" s="19">
        <v>2.61</v>
      </c>
      <c r="M4" s="19">
        <v>2.68</v>
      </c>
      <c r="N4" s="19">
        <v>1.94</v>
      </c>
      <c r="O4" s="19">
        <v>1.36</v>
      </c>
      <c r="P4" s="19">
        <v>1.29</v>
      </c>
      <c r="Q4" s="19">
        <v>0.69</v>
      </c>
      <c r="R4" s="19">
        <v>0.44</v>
      </c>
      <c r="S4" s="19">
        <v>0.16</v>
      </c>
      <c r="T4" s="19">
        <v>0.79</v>
      </c>
      <c r="U4" s="19">
        <v>0.48</v>
      </c>
      <c r="V4" s="19">
        <v>1.1000000000000001</v>
      </c>
      <c r="W4" s="19">
        <v>0.62</v>
      </c>
      <c r="X4" s="19">
        <v>0.67</v>
      </c>
      <c r="Y4" s="19">
        <v>0.73</v>
      </c>
      <c r="Z4" s="19">
        <v>0.76500000000000001</v>
      </c>
      <c r="AA4" s="19">
        <v>0.86499999999999999</v>
      </c>
      <c r="AB4" s="19">
        <v>0.89</v>
      </c>
      <c r="AC4" s="1">
        <v>0.82</v>
      </c>
    </row>
    <row r="5" spans="1:29" x14ac:dyDescent="0.3">
      <c r="A5" s="5" t="s">
        <v>8</v>
      </c>
      <c r="B5" s="12">
        <v>3</v>
      </c>
      <c r="C5" s="1" t="s">
        <v>86</v>
      </c>
      <c r="D5" s="3"/>
      <c r="E5" s="3"/>
      <c r="F5" s="3">
        <v>7</v>
      </c>
      <c r="G5" s="3">
        <v>7</v>
      </c>
      <c r="H5" s="3">
        <v>7</v>
      </c>
      <c r="I5" s="3">
        <v>11</v>
      </c>
      <c r="J5" s="3">
        <v>11</v>
      </c>
      <c r="K5" s="3">
        <v>21</v>
      </c>
      <c r="L5" s="3">
        <v>21</v>
      </c>
      <c r="M5" s="3">
        <v>21</v>
      </c>
      <c r="N5" s="3">
        <v>21</v>
      </c>
      <c r="O5" s="3">
        <v>21</v>
      </c>
      <c r="P5" s="3">
        <v>21</v>
      </c>
      <c r="Q5" s="3">
        <v>21</v>
      </c>
      <c r="R5" s="3">
        <v>39</v>
      </c>
      <c r="S5" s="3">
        <v>39</v>
      </c>
      <c r="T5" s="3">
        <v>39</v>
      </c>
      <c r="U5" s="3">
        <v>39</v>
      </c>
      <c r="V5" s="3">
        <v>67</v>
      </c>
      <c r="W5" s="3">
        <v>67</v>
      </c>
      <c r="X5" s="3">
        <v>67</v>
      </c>
      <c r="Y5" s="3">
        <v>67</v>
      </c>
      <c r="Z5" s="3">
        <v>67</v>
      </c>
      <c r="AA5" s="3">
        <v>67</v>
      </c>
      <c r="AB5" s="3">
        <v>67</v>
      </c>
      <c r="AC5" s="3">
        <v>67</v>
      </c>
    </row>
    <row r="6" spans="1:29" x14ac:dyDescent="0.3">
      <c r="A6" s="101" t="s">
        <v>7</v>
      </c>
      <c r="B6" s="13">
        <v>4</v>
      </c>
      <c r="C6" s="6" t="s">
        <v>104</v>
      </c>
      <c r="D6" s="7"/>
      <c r="E6" s="7"/>
      <c r="F6" s="7">
        <f>(2678775*5)/1000000</f>
        <v>13.393875</v>
      </c>
      <c r="G6" s="7">
        <f>(3186227*5)/1000000</f>
        <v>15.931134999999999</v>
      </c>
      <c r="H6" s="7">
        <v>15.856</v>
      </c>
      <c r="I6" s="7">
        <v>21.477</v>
      </c>
      <c r="J6" s="7">
        <v>17.606999999999999</v>
      </c>
      <c r="K6" s="7">
        <v>23.667999999999999</v>
      </c>
      <c r="L6" s="7">
        <v>29.815000000000001</v>
      </c>
      <c r="M6" s="7">
        <v>27.81</v>
      </c>
      <c r="N6" s="7">
        <v>40.103999999999999</v>
      </c>
      <c r="O6" s="7">
        <v>45.460999999999999</v>
      </c>
      <c r="P6" s="7">
        <v>46.822000000000003</v>
      </c>
      <c r="Q6" s="7">
        <v>34.195</v>
      </c>
      <c r="R6" s="7">
        <v>35.366</v>
      </c>
      <c r="S6" s="7">
        <v>40.765000000000001</v>
      </c>
      <c r="T6" s="7">
        <v>32.000999999999998</v>
      </c>
      <c r="U6" s="7">
        <v>35.344000000000001</v>
      </c>
      <c r="V6" s="7">
        <v>58.381999999999998</v>
      </c>
      <c r="W6" s="7">
        <v>68.75</v>
      </c>
      <c r="X6" s="7">
        <v>80.001000000000005</v>
      </c>
      <c r="Y6" s="7">
        <v>91.74</v>
      </c>
      <c r="Z6" s="7">
        <v>75.84</v>
      </c>
      <c r="AA6" s="7">
        <v>68.53</v>
      </c>
      <c r="AB6" s="7">
        <v>64.45</v>
      </c>
      <c r="AC6" s="1"/>
    </row>
    <row r="7" spans="1:29" x14ac:dyDescent="0.3">
      <c r="A7" s="101"/>
      <c r="B7" s="13">
        <v>5</v>
      </c>
      <c r="C7" s="1" t="s">
        <v>9</v>
      </c>
      <c r="D7" s="3"/>
      <c r="E7" s="3"/>
      <c r="F7" s="3">
        <f>F8+(2782485*5/1000000)</f>
        <v>-5.6626600000000007</v>
      </c>
      <c r="G7" s="3">
        <f>G8+(3008759*5/1000000)</f>
        <v>-13.031675</v>
      </c>
      <c r="H7" s="3">
        <f>H8+(18151/1000)</f>
        <v>-7.2220000000000013</v>
      </c>
      <c r="I7" s="3">
        <f>I8+(17898/1000)</f>
        <v>-14.729000000000003</v>
      </c>
      <c r="J7" s="3">
        <f>J8+(16936/1000)</f>
        <v>-14.27</v>
      </c>
      <c r="K7" s="3">
        <f>K8+(11641/1000)</f>
        <v>3.984</v>
      </c>
      <c r="L7" s="3">
        <f>L8+(13055/1000)</f>
        <v>4.6539999999999999</v>
      </c>
      <c r="M7" s="3">
        <f>M8+(9012/1000)</f>
        <v>12.387</v>
      </c>
      <c r="N7" s="3">
        <f>N8+(9643/1000)</f>
        <v>26.743000000000002</v>
      </c>
      <c r="O7" s="3">
        <f>O8+(7051/1000)</f>
        <v>9.6140000000000008</v>
      </c>
      <c r="P7" s="3">
        <f>P8+(11551/1000)</f>
        <v>2.16</v>
      </c>
      <c r="Q7" s="3">
        <f>Q8+(15034/1000)</f>
        <v>2.1140000000000008</v>
      </c>
      <c r="R7" s="3">
        <f>R8+(23288/1000)</f>
        <v>0.42899999999999849</v>
      </c>
      <c r="S7" s="3">
        <f>S8+(21195/1000)</f>
        <v>-24.636000000000003</v>
      </c>
      <c r="T7" s="3">
        <f>T8+(19363/1000)</f>
        <v>-16.847999999999999</v>
      </c>
      <c r="U7" s="3">
        <f>U8+(8029/1000)</f>
        <v>12.292</v>
      </c>
      <c r="V7" s="3">
        <f>V8+(10816/1000)</f>
        <v>34.279000000000003</v>
      </c>
      <c r="W7" s="3">
        <f>W8+(9332/1000)</f>
        <v>-17.018999999999998</v>
      </c>
      <c r="X7" s="3">
        <v>60.4</v>
      </c>
      <c r="Y7" s="3">
        <v>12.84</v>
      </c>
      <c r="Z7" s="3">
        <v>31.42</v>
      </c>
      <c r="AA7" s="3">
        <v>53.79</v>
      </c>
      <c r="AB7" s="3">
        <v>1.25</v>
      </c>
      <c r="AC7" s="1"/>
    </row>
    <row r="8" spans="1:29" x14ac:dyDescent="0.3">
      <c r="A8" s="101"/>
      <c r="B8" s="13">
        <v>6</v>
      </c>
      <c r="C8" s="6" t="s">
        <v>10</v>
      </c>
      <c r="D8" s="7"/>
      <c r="E8" s="7"/>
      <c r="F8" s="7">
        <f>(-3915017*5)/1000000</f>
        <v>-19.575085000000001</v>
      </c>
      <c r="G8" s="7">
        <f>(-5615094*5)/1000000</f>
        <v>-28.075469999999999</v>
      </c>
      <c r="H8" s="7">
        <v>-25.373000000000001</v>
      </c>
      <c r="I8" s="7">
        <v>-32.627000000000002</v>
      </c>
      <c r="J8" s="7">
        <v>-31.206</v>
      </c>
      <c r="K8" s="7">
        <v>-7.657</v>
      </c>
      <c r="L8" s="7">
        <v>-8.4009999999999998</v>
      </c>
      <c r="M8" s="7">
        <v>3.375</v>
      </c>
      <c r="N8" s="7">
        <v>17.100000000000001</v>
      </c>
      <c r="O8" s="7">
        <v>2.5630000000000002</v>
      </c>
      <c r="P8" s="7">
        <v>-9.391</v>
      </c>
      <c r="Q8" s="7">
        <v>-12.92</v>
      </c>
      <c r="R8" s="7">
        <v>-22.859000000000002</v>
      </c>
      <c r="S8" s="7">
        <v>-45.831000000000003</v>
      </c>
      <c r="T8" s="7">
        <v>-36.210999999999999</v>
      </c>
      <c r="U8" s="7">
        <v>4.2629999999999999</v>
      </c>
      <c r="V8" s="7">
        <v>23.463000000000001</v>
      </c>
      <c r="W8" s="7">
        <v>-26.350999999999999</v>
      </c>
      <c r="X8" s="7">
        <v>42.624000000000002</v>
      </c>
      <c r="Y8" s="7">
        <v>-15.19</v>
      </c>
      <c r="Z8" s="7">
        <v>4.0599999999999996</v>
      </c>
      <c r="AA8" s="7">
        <v>27.22</v>
      </c>
      <c r="AB8" s="7">
        <v>-24.5</v>
      </c>
      <c r="AC8" s="1"/>
    </row>
    <row r="9" spans="1:29" x14ac:dyDescent="0.3">
      <c r="A9" s="101"/>
      <c r="B9" s="13">
        <v>11</v>
      </c>
      <c r="C9" s="1" t="s">
        <v>11</v>
      </c>
      <c r="D9" s="3"/>
      <c r="E9" s="3"/>
      <c r="F9" s="3">
        <f>-(104280*5)/1000000</f>
        <v>-0.52139999999999997</v>
      </c>
      <c r="G9" s="3">
        <f>-(29244*5)/1000000</f>
        <v>-0.14621999999999999</v>
      </c>
      <c r="H9" s="3">
        <v>-0.72499999999999998</v>
      </c>
      <c r="I9" s="3">
        <v>-1.9970000000000001</v>
      </c>
      <c r="J9" s="3">
        <v>-2.7029999999999998</v>
      </c>
      <c r="K9" s="3">
        <v>-1.976</v>
      </c>
      <c r="L9" s="3">
        <v>-1.6719999999999999</v>
      </c>
      <c r="M9" s="3">
        <v>-1.6140000000000001</v>
      </c>
      <c r="N9" s="3">
        <f>N10-N8</f>
        <v>-1.8060000000000009</v>
      </c>
      <c r="O9" s="3">
        <f>O10-O8</f>
        <v>-1.9280000000000002</v>
      </c>
      <c r="P9" s="3">
        <f t="shared" ref="P9:Q9" si="0">P10-P8</f>
        <v>-2.4320000000000004</v>
      </c>
      <c r="Q9" s="3">
        <f t="shared" si="0"/>
        <v>-11.932</v>
      </c>
      <c r="R9" s="3">
        <f t="shared" ref="R9" si="1">R10-R8</f>
        <v>-7</v>
      </c>
      <c r="S9" s="3">
        <f t="shared" ref="S9" si="2">S10-S8</f>
        <v>0</v>
      </c>
      <c r="T9" s="3">
        <f t="shared" ref="T9" si="3">T10-T8</f>
        <v>-7.365000000000002</v>
      </c>
      <c r="U9" s="3">
        <f t="shared" ref="U9" si="4">U10-U8</f>
        <v>-3.7749999999999999</v>
      </c>
      <c r="V9" s="3"/>
      <c r="W9" s="3">
        <v>-2.96</v>
      </c>
      <c r="X9" s="3">
        <v>-7.43</v>
      </c>
      <c r="Y9" s="3">
        <v>-3.58</v>
      </c>
      <c r="Z9" s="3">
        <v>-4.38</v>
      </c>
      <c r="AA9" s="3">
        <v>-12.74</v>
      </c>
      <c r="AB9" s="3">
        <v>-9.2799999999999994</v>
      </c>
      <c r="AC9" s="1"/>
    </row>
    <row r="10" spans="1:29" x14ac:dyDescent="0.3">
      <c r="A10" s="101"/>
      <c r="B10" s="13">
        <v>12</v>
      </c>
      <c r="C10" s="6" t="s">
        <v>12</v>
      </c>
      <c r="D10" s="7"/>
      <c r="E10" s="7"/>
      <c r="F10" s="7">
        <f>-(510412*5)/1000000</f>
        <v>-2.55206</v>
      </c>
      <c r="G10" s="7">
        <f>-(2292423*5)/1000000</f>
        <v>-11.462115000000001</v>
      </c>
      <c r="H10" s="7">
        <v>-21.445</v>
      </c>
      <c r="I10" s="7">
        <v>-22.715</v>
      </c>
      <c r="J10" s="7">
        <v>-27.297000000000001</v>
      </c>
      <c r="K10" s="7">
        <v>-9.2080000000000002</v>
      </c>
      <c r="L10" s="7">
        <v>54.67</v>
      </c>
      <c r="M10" s="19">
        <v>0.32500000000000001</v>
      </c>
      <c r="N10" s="7">
        <v>15.294</v>
      </c>
      <c r="O10" s="7">
        <v>0.63500000000000001</v>
      </c>
      <c r="P10" s="7">
        <v>-11.823</v>
      </c>
      <c r="Q10" s="7">
        <v>-24.852</v>
      </c>
      <c r="R10" s="7">
        <v>-29.859000000000002</v>
      </c>
      <c r="S10" s="7">
        <v>-45.831000000000003</v>
      </c>
      <c r="T10" s="7">
        <v>-43.576000000000001</v>
      </c>
      <c r="U10" s="19">
        <v>0.48799999999999999</v>
      </c>
      <c r="V10" s="7">
        <v>22.35</v>
      </c>
      <c r="W10" s="7">
        <v>-32.11</v>
      </c>
      <c r="X10" s="7">
        <v>35.200000000000003</v>
      </c>
      <c r="Y10" s="7">
        <v>-22.27</v>
      </c>
      <c r="Z10" s="7">
        <v>-6.34</v>
      </c>
      <c r="AA10" s="7">
        <v>11.82</v>
      </c>
      <c r="AB10" s="7">
        <v>-34.42</v>
      </c>
      <c r="AC10" s="1"/>
    </row>
    <row r="11" spans="1:29" x14ac:dyDescent="0.3">
      <c r="A11" s="101"/>
      <c r="B11" s="13">
        <v>13</v>
      </c>
      <c r="C11" s="1" t="s">
        <v>13</v>
      </c>
      <c r="D11" s="3"/>
      <c r="E11" s="3"/>
      <c r="F11" s="3">
        <v>0</v>
      </c>
      <c r="G11" s="3">
        <v>0</v>
      </c>
      <c r="H11" s="3">
        <v>0</v>
      </c>
      <c r="I11" s="3">
        <v>0</v>
      </c>
      <c r="J11" s="48">
        <v>1.4E-2</v>
      </c>
      <c r="K11" s="48">
        <v>1.4E-2</v>
      </c>
      <c r="L11" s="3">
        <v>0</v>
      </c>
      <c r="M11" s="35">
        <v>1.2E-2</v>
      </c>
      <c r="N11" s="35">
        <v>1.4999999999999999E-2</v>
      </c>
      <c r="O11" s="35">
        <v>2.1999999999999999E-2</v>
      </c>
      <c r="P11" s="35">
        <v>2.3E-2</v>
      </c>
      <c r="Q11" s="35">
        <v>4.3999999999999997E-2</v>
      </c>
      <c r="R11" s="35">
        <v>0.05</v>
      </c>
      <c r="S11" s="35">
        <v>0.11600000000000001</v>
      </c>
      <c r="T11" s="35">
        <v>0.24</v>
      </c>
      <c r="U11" s="35">
        <v>0.12</v>
      </c>
      <c r="V11" s="3">
        <v>3.0169999999999999</v>
      </c>
      <c r="W11" s="35">
        <v>0.20599999999999999</v>
      </c>
      <c r="X11" s="3">
        <v>4.66</v>
      </c>
      <c r="Y11" s="3">
        <f>0.42*2</f>
        <v>0.84</v>
      </c>
      <c r="Z11" s="3">
        <v>1.53</v>
      </c>
      <c r="AA11" s="3">
        <v>-0.71</v>
      </c>
      <c r="AB11" s="3">
        <v>-1.47</v>
      </c>
      <c r="AC11" s="1"/>
    </row>
    <row r="12" spans="1:29" x14ac:dyDescent="0.3">
      <c r="A12" s="101"/>
      <c r="B12" s="13">
        <v>14</v>
      </c>
      <c r="C12" s="6" t="s">
        <v>105</v>
      </c>
      <c r="D12" s="7"/>
      <c r="E12" s="7"/>
      <c r="F12" s="7">
        <f>-(510412*5)/1000000</f>
        <v>-2.55206</v>
      </c>
      <c r="G12" s="7">
        <f>-(2292423*5)/1000000</f>
        <v>-11.462115000000001</v>
      </c>
      <c r="H12" s="7">
        <v>-21.445</v>
      </c>
      <c r="I12" s="7">
        <v>-22.715</v>
      </c>
      <c r="J12" s="7">
        <v>-27.331</v>
      </c>
      <c r="K12" s="7">
        <v>-9.2289999999999992</v>
      </c>
      <c r="L12" s="51">
        <v>54.67</v>
      </c>
      <c r="M12" s="19">
        <v>0.313</v>
      </c>
      <c r="N12" s="7">
        <v>15.239000000000001</v>
      </c>
      <c r="O12" s="7">
        <v>0.59699999999999998</v>
      </c>
      <c r="P12" s="7">
        <v>-13.349</v>
      </c>
      <c r="Q12" s="7">
        <v>-24.852</v>
      </c>
      <c r="R12" s="7">
        <v>-43.991</v>
      </c>
      <c r="S12" s="7">
        <v>-45.947000000000003</v>
      </c>
      <c r="T12" s="7">
        <v>-43.816000000000003</v>
      </c>
      <c r="U12" s="19">
        <v>0.36799999999999999</v>
      </c>
      <c r="V12" s="7">
        <v>19.332999999999998</v>
      </c>
      <c r="W12" s="7">
        <v>-31.905000000000001</v>
      </c>
      <c r="X12" s="7">
        <v>30.536999999999999</v>
      </c>
      <c r="Y12" s="7">
        <v>-19.899999999999999</v>
      </c>
      <c r="Z12" s="7">
        <v>-7.88</v>
      </c>
      <c r="AA12" s="7">
        <v>12.52</v>
      </c>
      <c r="AB12" s="7">
        <v>-32.96</v>
      </c>
      <c r="AC12" s="1"/>
    </row>
    <row r="13" spans="1:29" x14ac:dyDescent="0.3">
      <c r="A13" s="101"/>
      <c r="B13" s="13">
        <v>2</v>
      </c>
      <c r="C13" s="1" t="s">
        <v>15</v>
      </c>
      <c r="D13" s="3"/>
      <c r="E13" s="3"/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1"/>
    </row>
    <row r="14" spans="1:29" x14ac:dyDescent="0.3">
      <c r="A14" s="102" t="s">
        <v>14</v>
      </c>
      <c r="B14" s="14">
        <v>8</v>
      </c>
      <c r="C14" s="6" t="s">
        <v>16</v>
      </c>
      <c r="D14" s="7"/>
      <c r="E14" s="7"/>
      <c r="F14" s="7">
        <f>(144655*5)/1000000</f>
        <v>0.723275</v>
      </c>
      <c r="G14" s="7">
        <f>(26415*5)/1000000</f>
        <v>0.132075</v>
      </c>
      <c r="H14" s="7">
        <v>3.024</v>
      </c>
      <c r="I14" s="19">
        <v>0.45200000000000001</v>
      </c>
      <c r="J14" s="7">
        <v>4.2279999999999998</v>
      </c>
      <c r="K14" s="7">
        <v>3.4940000000000002</v>
      </c>
      <c r="L14" s="19">
        <v>0.46300000000000002</v>
      </c>
      <c r="M14" s="19">
        <v>0.13100000000000001</v>
      </c>
      <c r="N14" s="7">
        <v>0.91</v>
      </c>
      <c r="O14" s="7">
        <v>-0.71199999999999997</v>
      </c>
      <c r="P14" s="7">
        <v>0.57799999999999996</v>
      </c>
      <c r="Q14" s="19">
        <v>0.374</v>
      </c>
      <c r="R14" s="19">
        <v>0.156</v>
      </c>
      <c r="S14" s="19">
        <v>6.4000000000000001E-2</v>
      </c>
      <c r="T14" s="7">
        <v>1.256</v>
      </c>
      <c r="U14" s="7">
        <v>1.9419999999999999</v>
      </c>
      <c r="V14" s="7">
        <v>10.6</v>
      </c>
      <c r="W14" s="7">
        <v>3.3</v>
      </c>
      <c r="X14" s="7">
        <v>6.306</v>
      </c>
      <c r="Y14" s="7">
        <v>1.8</v>
      </c>
      <c r="Z14" s="7">
        <v>3.5</v>
      </c>
      <c r="AA14" s="7">
        <v>15.4</v>
      </c>
      <c r="AB14" s="7">
        <v>9.6</v>
      </c>
      <c r="AC14" s="1"/>
    </row>
    <row r="15" spans="1:29" x14ac:dyDescent="0.3">
      <c r="A15" s="103"/>
      <c r="B15" s="14">
        <v>7</v>
      </c>
      <c r="C15" s="1" t="s">
        <v>17</v>
      </c>
      <c r="D15" s="3"/>
      <c r="E15" s="3"/>
      <c r="F15" s="3">
        <f>(1350000+1062204)*5/1000000</f>
        <v>12.061019999999999</v>
      </c>
      <c r="G15" s="3">
        <f>(900000+2305706)*5/1000000</f>
        <v>16.02853</v>
      </c>
      <c r="H15" s="3">
        <f>8.23+17.288</f>
        <v>25.518000000000001</v>
      </c>
      <c r="I15" s="3">
        <f>24.486+11.885</f>
        <v>36.371000000000002</v>
      </c>
      <c r="J15" s="3">
        <f>17.396+15.101</f>
        <v>32.497</v>
      </c>
      <c r="K15" s="3">
        <f>5+25.708</f>
        <v>30.707999999999998</v>
      </c>
      <c r="L15" s="3">
        <f>15+10.728</f>
        <v>25.728000000000002</v>
      </c>
      <c r="M15" s="3">
        <f>33+1.766</f>
        <v>34.765999999999998</v>
      </c>
      <c r="N15" s="3">
        <f>32.72+2.364</f>
        <v>35.083999999999996</v>
      </c>
      <c r="O15" s="3">
        <f>15+28.767</f>
        <v>43.766999999999996</v>
      </c>
      <c r="P15" s="3">
        <f>41.629+2.293</f>
        <v>43.921999999999997</v>
      </c>
      <c r="Q15" s="3">
        <f>38.249+10.774</f>
        <v>49.023000000000003</v>
      </c>
      <c r="R15" s="3">
        <f>42.289+53.271</f>
        <v>95.56</v>
      </c>
      <c r="S15" s="3">
        <f>80.291+36.075</f>
        <v>116.366</v>
      </c>
      <c r="T15" s="3">
        <f>56.458+101.398</f>
        <v>157.85599999999999</v>
      </c>
      <c r="U15" s="3">
        <f>31.68+149.057</f>
        <v>180.73699999999999</v>
      </c>
      <c r="V15" s="3">
        <f>80.344+49.709</f>
        <v>130.053</v>
      </c>
      <c r="W15" s="3">
        <f>88.119+43.936</f>
        <v>132.05500000000001</v>
      </c>
      <c r="X15" s="3">
        <f>36.265+91.106</f>
        <v>127.371</v>
      </c>
      <c r="Y15" s="3">
        <v>111.9</v>
      </c>
      <c r="Z15" s="3">
        <v>150.4</v>
      </c>
      <c r="AA15" s="3">
        <v>133.69999999999999</v>
      </c>
      <c r="AB15" s="3">
        <v>129.69999999999999</v>
      </c>
      <c r="AC15" s="1"/>
    </row>
    <row r="16" spans="1:29" x14ac:dyDescent="0.3">
      <c r="A16" s="103"/>
      <c r="B16" s="14">
        <v>9</v>
      </c>
      <c r="C16" s="6" t="s">
        <v>92</v>
      </c>
      <c r="D16" s="7"/>
      <c r="E16" s="7"/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1"/>
    </row>
    <row r="17" spans="1:29" x14ac:dyDescent="0.3">
      <c r="A17" s="103"/>
      <c r="B17" s="14">
        <v>10</v>
      </c>
      <c r="C17" s="1" t="s">
        <v>18</v>
      </c>
      <c r="D17" s="3"/>
      <c r="E17" s="3"/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1"/>
    </row>
    <row r="18" spans="1:29" x14ac:dyDescent="0.3">
      <c r="A18" s="103"/>
      <c r="B18" s="14">
        <v>15</v>
      </c>
      <c r="C18" s="6" t="s">
        <v>19</v>
      </c>
      <c r="D18" s="7"/>
      <c r="E18" s="7"/>
      <c r="F18" s="7">
        <f>(3834394+2811584)*5/1000000</f>
        <v>33.229889999999997</v>
      </c>
      <c r="G18" s="7">
        <f>(1463413+6698945)*5/1000000</f>
        <v>40.811790000000002</v>
      </c>
      <c r="H18" s="7">
        <f>H19+15.453</f>
        <v>56.331999999999994</v>
      </c>
      <c r="I18" s="7">
        <f>I19+15.453</f>
        <v>62.206999999999994</v>
      </c>
      <c r="J18" s="7">
        <f>J19+30.334</f>
        <v>100.381</v>
      </c>
      <c r="K18" s="7">
        <f>K19+16.182</f>
        <v>106.765</v>
      </c>
      <c r="L18" s="7">
        <f>L19+19.362</f>
        <v>49.090999999999994</v>
      </c>
      <c r="M18" s="7">
        <f>M19+19.362</f>
        <v>40.840000000000003</v>
      </c>
      <c r="N18" s="7">
        <v>128.131</v>
      </c>
      <c r="O18" s="7">
        <v>146.01599999999999</v>
      </c>
      <c r="P18" s="7">
        <v>142.44300000000001</v>
      </c>
      <c r="Q18" s="7">
        <v>172.95</v>
      </c>
      <c r="R18" s="7">
        <v>166.13800000000001</v>
      </c>
      <c r="S18" s="7">
        <v>220.001</v>
      </c>
      <c r="T18" s="7">
        <v>258.87299999999999</v>
      </c>
      <c r="U18" s="7">
        <v>264.78199999999998</v>
      </c>
      <c r="V18" s="7">
        <v>228.499</v>
      </c>
      <c r="W18" s="7">
        <v>249.29300000000001</v>
      </c>
      <c r="X18" s="7">
        <v>310.87900000000002</v>
      </c>
      <c r="Y18" s="7">
        <v>282.60000000000002</v>
      </c>
      <c r="Z18" s="7">
        <v>324.8</v>
      </c>
      <c r="AA18" s="7">
        <v>298.60000000000002</v>
      </c>
      <c r="AB18" s="7">
        <v>310.60000000000002</v>
      </c>
      <c r="AC18" s="1"/>
    </row>
    <row r="19" spans="1:29" x14ac:dyDescent="0.3">
      <c r="A19" s="103"/>
      <c r="B19" s="14">
        <v>18</v>
      </c>
      <c r="C19" s="1" t="s">
        <v>21</v>
      </c>
      <c r="D19" s="3"/>
      <c r="E19" s="3"/>
      <c r="F19" s="3">
        <f>(3834394*5)/1000000</f>
        <v>19.171970000000002</v>
      </c>
      <c r="G19" s="3">
        <f>(6698945*5)/1000000</f>
        <v>33.494725000000003</v>
      </c>
      <c r="H19" s="3">
        <f>40.879</f>
        <v>40.878999999999998</v>
      </c>
      <c r="I19" s="3">
        <v>46.753999999999998</v>
      </c>
      <c r="J19" s="3">
        <v>70.046999999999997</v>
      </c>
      <c r="K19" s="3">
        <v>90.582999999999998</v>
      </c>
      <c r="L19" s="3">
        <v>29.728999999999999</v>
      </c>
      <c r="M19" s="3">
        <v>21.478000000000002</v>
      </c>
      <c r="N19" s="3">
        <v>26.189</v>
      </c>
      <c r="O19" s="3">
        <v>48.399000000000001</v>
      </c>
      <c r="P19" s="3">
        <v>22.713999999999999</v>
      </c>
      <c r="Q19" s="3">
        <v>46.923000000000002</v>
      </c>
      <c r="R19" s="3">
        <v>112.756</v>
      </c>
      <c r="S19" s="3">
        <v>95.685000000000002</v>
      </c>
      <c r="T19" s="3">
        <v>143.80000000000001</v>
      </c>
      <c r="U19" s="3">
        <v>181.87700000000001</v>
      </c>
      <c r="V19" s="3">
        <v>95.412999999999997</v>
      </c>
      <c r="W19" s="3">
        <v>106.517</v>
      </c>
      <c r="X19" s="3">
        <v>190.52799999999999</v>
      </c>
      <c r="Y19" s="3">
        <v>173.3</v>
      </c>
      <c r="Z19" s="3">
        <v>140.9</v>
      </c>
      <c r="AA19" s="3">
        <v>146.30000000000001</v>
      </c>
      <c r="AB19" s="3">
        <v>203.4</v>
      </c>
      <c r="AC19" s="1"/>
    </row>
    <row r="20" spans="1:29" x14ac:dyDescent="0.3">
      <c r="A20" s="103"/>
      <c r="B20" s="14">
        <v>17</v>
      </c>
      <c r="C20" s="6" t="s">
        <v>22</v>
      </c>
      <c r="D20" s="7"/>
      <c r="E20" s="7"/>
      <c r="F20" s="7">
        <f>(3432876+144655)*5/1000000</f>
        <v>17.887654999999999</v>
      </c>
      <c r="G20" s="7">
        <f>(4872263+26416)*5/1000000</f>
        <v>24.493395</v>
      </c>
      <c r="H20" s="7">
        <f>16.002+3.024</f>
        <v>19.026</v>
      </c>
      <c r="I20" s="7">
        <f>22.937+0.452</f>
        <v>23.389000000000003</v>
      </c>
      <c r="J20" s="7">
        <f>24.157+4.229</f>
        <v>28.385999999999999</v>
      </c>
      <c r="K20" s="7">
        <f>26.709+3.168</f>
        <v>29.876999999999999</v>
      </c>
      <c r="L20" s="7">
        <f>69.09+0.463</f>
        <v>69.552999999999997</v>
      </c>
      <c r="M20" s="7">
        <f>72.942+0.131</f>
        <v>73.072999999999993</v>
      </c>
      <c r="N20" s="7">
        <v>26.338000000000001</v>
      </c>
      <c r="O20" s="7">
        <v>14.475</v>
      </c>
      <c r="P20" s="7">
        <v>8.0280000000000005</v>
      </c>
      <c r="Q20" s="7">
        <v>7.0019999999999998</v>
      </c>
      <c r="R20" s="7">
        <v>23.716999999999999</v>
      </c>
      <c r="S20" s="7">
        <v>17.972000000000001</v>
      </c>
      <c r="T20" s="7">
        <v>20.376999999999999</v>
      </c>
      <c r="U20" s="7">
        <v>25.077000000000002</v>
      </c>
      <c r="V20" s="7">
        <v>44.101999999999997</v>
      </c>
      <c r="W20" s="7">
        <v>27.274000000000001</v>
      </c>
      <c r="X20" s="7">
        <v>91.212000000000003</v>
      </c>
      <c r="Y20" s="7">
        <v>29</v>
      </c>
      <c r="Z20" s="7">
        <v>45.8</v>
      </c>
      <c r="AA20" s="7">
        <v>65.900000000000006</v>
      </c>
      <c r="AB20" s="7">
        <v>48.2</v>
      </c>
      <c r="AC20" s="1"/>
    </row>
    <row r="21" spans="1:29" x14ac:dyDescent="0.3">
      <c r="A21" s="103"/>
      <c r="B21" s="14">
        <v>19</v>
      </c>
      <c r="C21" s="1" t="s">
        <v>88</v>
      </c>
      <c r="D21" s="3"/>
      <c r="E21" s="3"/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0.8</v>
      </c>
      <c r="W21" s="3">
        <v>0.9</v>
      </c>
      <c r="X21" s="3">
        <v>1</v>
      </c>
      <c r="Y21" s="3">
        <v>1.4</v>
      </c>
      <c r="Z21" s="3">
        <v>1.3</v>
      </c>
      <c r="AA21" s="3">
        <v>1.5</v>
      </c>
      <c r="AB21" s="3">
        <v>1.6</v>
      </c>
      <c r="AC21" s="1"/>
    </row>
    <row r="22" spans="1:29" x14ac:dyDescent="0.3">
      <c r="A22" s="103"/>
      <c r="B22" s="14">
        <v>20</v>
      </c>
      <c r="C22" s="6" t="s">
        <v>87</v>
      </c>
      <c r="D22" s="7"/>
      <c r="E22" s="7"/>
      <c r="F22" s="19">
        <f>(135593*5)/1000000</f>
        <v>0.67796500000000004</v>
      </c>
      <c r="G22" s="19">
        <f>(84909*5)/1000000</f>
        <v>0.42454500000000001</v>
      </c>
      <c r="H22" s="7">
        <v>1.34</v>
      </c>
      <c r="I22" s="7">
        <v>9.2029999999999994</v>
      </c>
      <c r="J22" s="7">
        <f>14.247+0.536</f>
        <v>14.782999999999999</v>
      </c>
      <c r="K22" s="7">
        <f>32.595+0.9</f>
        <v>33.494999999999997</v>
      </c>
      <c r="L22" s="7">
        <v>7.3120000000000003</v>
      </c>
      <c r="M22" s="7">
        <v>4.4260000000000002</v>
      </c>
      <c r="N22" s="7">
        <v>23.76</v>
      </c>
      <c r="O22" s="7">
        <v>11.964</v>
      </c>
      <c r="P22" s="7">
        <v>2.927</v>
      </c>
      <c r="Q22" s="7">
        <v>2.79</v>
      </c>
      <c r="R22" s="7">
        <v>20.587</v>
      </c>
      <c r="S22" s="7">
        <v>15.121</v>
      </c>
      <c r="T22" s="7">
        <v>12.638</v>
      </c>
      <c r="U22" s="7">
        <v>19.283000000000001</v>
      </c>
      <c r="V22" s="7">
        <v>22.7</v>
      </c>
      <c r="W22" s="7">
        <v>11.6</v>
      </c>
      <c r="X22" s="7">
        <v>56.6</v>
      </c>
      <c r="Y22" s="7">
        <v>13.2</v>
      </c>
      <c r="Z22" s="7">
        <v>23.4</v>
      </c>
      <c r="AA22" s="7">
        <v>17.2</v>
      </c>
      <c r="AB22" s="7">
        <v>34.799999999999997</v>
      </c>
      <c r="AC22" s="1"/>
    </row>
    <row r="23" spans="1:29" x14ac:dyDescent="0.3">
      <c r="A23" s="103"/>
      <c r="B23" s="14">
        <v>16</v>
      </c>
      <c r="C23" s="1" t="s">
        <v>20</v>
      </c>
      <c r="D23" s="3"/>
      <c r="E23" s="3"/>
      <c r="F23" s="3">
        <f>(4996918*5)/1000000</f>
        <v>24.984590000000001</v>
      </c>
      <c r="G23" s="3">
        <f>(2704495*5)/1000000</f>
        <v>13.522475</v>
      </c>
      <c r="H23" s="3">
        <v>11.997</v>
      </c>
      <c r="I23" s="3">
        <v>-10.712999999999999</v>
      </c>
      <c r="J23" s="3">
        <v>-36.024999999999999</v>
      </c>
      <c r="K23" s="3">
        <v>-47.246000000000002</v>
      </c>
      <c r="L23" s="3">
        <v>33.923999999999999</v>
      </c>
      <c r="M23" s="3">
        <v>34.235999999999997</v>
      </c>
      <c r="N23" s="3">
        <v>-3.17</v>
      </c>
      <c r="O23" s="3">
        <v>-2.5950000000000002</v>
      </c>
      <c r="P23" s="3">
        <v>-15.981</v>
      </c>
      <c r="Q23" s="3">
        <v>-42.442</v>
      </c>
      <c r="R23" s="3">
        <v>-29.646000000000001</v>
      </c>
      <c r="S23" s="3">
        <v>-75.593000000000004</v>
      </c>
      <c r="T23" s="3">
        <v>-119.40900000000001</v>
      </c>
      <c r="U23" s="3">
        <v>-118.03</v>
      </c>
      <c r="V23" s="3">
        <v>7.4029999999999996</v>
      </c>
      <c r="W23" s="3">
        <v>-25</v>
      </c>
      <c r="X23" s="3">
        <v>5.6</v>
      </c>
      <c r="Y23" s="3">
        <v>-13.3</v>
      </c>
      <c r="Z23" s="3">
        <v>-23.6</v>
      </c>
      <c r="AA23" s="3">
        <v>-9.9</v>
      </c>
      <c r="AB23" s="3">
        <v>-41.4</v>
      </c>
      <c r="AC23" s="1"/>
    </row>
    <row r="25" spans="1:29" x14ac:dyDescent="0.3">
      <c r="A25" s="9" t="s">
        <v>71</v>
      </c>
      <c r="B25" s="8"/>
      <c r="C25" s="9" t="s">
        <v>26</v>
      </c>
      <c r="D25" s="8">
        <v>97</v>
      </c>
      <c r="E25" s="8">
        <v>98</v>
      </c>
      <c r="F25" s="8">
        <v>99</v>
      </c>
      <c r="G25" s="8">
        <v>2000</v>
      </c>
      <c r="H25" s="8">
        <v>1</v>
      </c>
      <c r="I25" s="8">
        <v>2</v>
      </c>
      <c r="J25" s="8">
        <v>3</v>
      </c>
      <c r="K25" s="8">
        <v>4</v>
      </c>
      <c r="L25" s="8">
        <v>5</v>
      </c>
      <c r="M25" s="8">
        <v>6</v>
      </c>
      <c r="N25" s="8">
        <v>7</v>
      </c>
      <c r="O25" s="8">
        <v>8</v>
      </c>
      <c r="P25" s="8">
        <v>9</v>
      </c>
      <c r="Q25" s="8">
        <v>10</v>
      </c>
      <c r="R25" s="8">
        <v>11</v>
      </c>
      <c r="S25" s="8">
        <v>12</v>
      </c>
      <c r="T25" s="8">
        <v>13</v>
      </c>
      <c r="U25" s="8">
        <v>14</v>
      </c>
      <c r="V25" s="8">
        <v>15</v>
      </c>
      <c r="W25" s="8">
        <v>16</v>
      </c>
      <c r="X25" s="8">
        <v>17</v>
      </c>
      <c r="Y25" s="8">
        <v>18</v>
      </c>
      <c r="Z25" s="8">
        <v>19</v>
      </c>
      <c r="AA25" s="8">
        <v>20</v>
      </c>
      <c r="AB25" s="8" t="s">
        <v>3</v>
      </c>
      <c r="AC25" s="8" t="s">
        <v>94</v>
      </c>
    </row>
    <row r="26" spans="1:29" x14ac:dyDescent="0.3">
      <c r="A26" s="6" t="s">
        <v>65</v>
      </c>
      <c r="B26" s="17" t="s">
        <v>27</v>
      </c>
      <c r="C26" s="6" t="s">
        <v>85</v>
      </c>
      <c r="D26" s="7">
        <f t="shared" ref="D26:AC26" si="5">D4*D5</f>
        <v>0</v>
      </c>
      <c r="E26" s="7">
        <f t="shared" si="5"/>
        <v>0</v>
      </c>
      <c r="F26" s="7">
        <f t="shared" si="5"/>
        <v>29.400000000000002</v>
      </c>
      <c r="G26" s="7">
        <f t="shared" si="5"/>
        <v>31.080000000000002</v>
      </c>
      <c r="H26" s="7">
        <f t="shared" si="5"/>
        <v>19.25</v>
      </c>
      <c r="I26" s="7">
        <f t="shared" si="5"/>
        <v>31.459999999999997</v>
      </c>
      <c r="J26" s="7">
        <f t="shared" si="5"/>
        <v>30.58</v>
      </c>
      <c r="K26" s="7">
        <f t="shared" si="5"/>
        <v>54.18</v>
      </c>
      <c r="L26" s="7">
        <f t="shared" si="5"/>
        <v>54.809999999999995</v>
      </c>
      <c r="M26" s="7">
        <f t="shared" si="5"/>
        <v>56.28</v>
      </c>
      <c r="N26" s="7">
        <f t="shared" si="5"/>
        <v>40.74</v>
      </c>
      <c r="O26" s="7">
        <f t="shared" si="5"/>
        <v>28.560000000000002</v>
      </c>
      <c r="P26" s="7">
        <f t="shared" si="5"/>
        <v>27.09</v>
      </c>
      <c r="Q26" s="7">
        <f t="shared" si="5"/>
        <v>14.489999999999998</v>
      </c>
      <c r="R26" s="7">
        <f t="shared" si="5"/>
        <v>17.16</v>
      </c>
      <c r="S26" s="7">
        <f t="shared" si="5"/>
        <v>6.24</v>
      </c>
      <c r="T26" s="7">
        <f t="shared" si="5"/>
        <v>30.810000000000002</v>
      </c>
      <c r="U26" s="7">
        <f t="shared" si="5"/>
        <v>18.72</v>
      </c>
      <c r="V26" s="7">
        <f t="shared" si="5"/>
        <v>73.7</v>
      </c>
      <c r="W26" s="7">
        <f t="shared" si="5"/>
        <v>41.54</v>
      </c>
      <c r="X26" s="7">
        <f t="shared" si="5"/>
        <v>44.89</v>
      </c>
      <c r="Y26" s="7">
        <f t="shared" si="5"/>
        <v>48.91</v>
      </c>
      <c r="Z26" s="7">
        <f t="shared" si="5"/>
        <v>51.255000000000003</v>
      </c>
      <c r="AA26" s="7">
        <f t="shared" si="5"/>
        <v>57.954999999999998</v>
      </c>
      <c r="AB26" s="7">
        <f t="shared" si="5"/>
        <v>59.63</v>
      </c>
      <c r="AC26" s="7">
        <f t="shared" si="5"/>
        <v>54.94</v>
      </c>
    </row>
    <row r="27" spans="1:29" x14ac:dyDescent="0.3">
      <c r="A27" s="1" t="s">
        <v>66</v>
      </c>
      <c r="B27" s="2" t="s">
        <v>28</v>
      </c>
      <c r="C27" s="1" t="s">
        <v>47</v>
      </c>
      <c r="D27" s="30" t="e">
        <f t="shared" ref="D27:AA27" si="6">D26/D6</f>
        <v>#DIV/0!</v>
      </c>
      <c r="E27" s="30" t="e">
        <f t="shared" si="6"/>
        <v>#DIV/0!</v>
      </c>
      <c r="F27" s="30">
        <f t="shared" si="6"/>
        <v>2.1950331774785119</v>
      </c>
      <c r="G27" s="30">
        <f t="shared" si="6"/>
        <v>1.9508967816793972</v>
      </c>
      <c r="H27" s="30">
        <f t="shared" si="6"/>
        <v>1.2140514631685166</v>
      </c>
      <c r="I27" s="30">
        <f t="shared" si="6"/>
        <v>1.4648228337291054</v>
      </c>
      <c r="J27" s="30">
        <f t="shared" si="6"/>
        <v>1.7368092236042483</v>
      </c>
      <c r="K27" s="30">
        <f t="shared" si="6"/>
        <v>2.2891668075038027</v>
      </c>
      <c r="L27" s="30">
        <f t="shared" si="6"/>
        <v>1.8383364078483981</v>
      </c>
      <c r="M27" s="30">
        <f t="shared" si="6"/>
        <v>2.0237324703344122</v>
      </c>
      <c r="N27" s="30">
        <f t="shared" si="6"/>
        <v>1.0158587672052664</v>
      </c>
      <c r="O27" s="30">
        <f t="shared" si="6"/>
        <v>0.62823079122764569</v>
      </c>
      <c r="P27" s="30">
        <f t="shared" si="6"/>
        <v>0.57857417453333904</v>
      </c>
      <c r="Q27" s="30">
        <f t="shared" si="6"/>
        <v>0.4237461617195496</v>
      </c>
      <c r="R27" s="30">
        <f t="shared" si="6"/>
        <v>0.48521178533054349</v>
      </c>
      <c r="S27" s="30">
        <f t="shared" si="6"/>
        <v>0.153072488654483</v>
      </c>
      <c r="T27" s="30">
        <f t="shared" si="6"/>
        <v>0.96278241304959233</v>
      </c>
      <c r="U27" s="30">
        <f t="shared" si="6"/>
        <v>0.52965142598460835</v>
      </c>
      <c r="V27" s="30">
        <f t="shared" si="6"/>
        <v>1.2623753896748999</v>
      </c>
      <c r="W27" s="30">
        <f t="shared" si="6"/>
        <v>0.60421818181818177</v>
      </c>
      <c r="X27" s="30">
        <f t="shared" si="6"/>
        <v>0.56111798602517471</v>
      </c>
      <c r="Y27" s="30">
        <f t="shared" si="6"/>
        <v>0.5331371266623065</v>
      </c>
      <c r="Z27" s="30">
        <f t="shared" si="6"/>
        <v>0.67583069620253167</v>
      </c>
      <c r="AA27" s="30">
        <f t="shared" si="6"/>
        <v>0.84568801984532316</v>
      </c>
      <c r="AB27" s="30">
        <f t="shared" ref="AB27" si="7">AB26/AB6</f>
        <v>0.92521334367726915</v>
      </c>
      <c r="AC27" s="1"/>
    </row>
    <row r="28" spans="1:29" x14ac:dyDescent="0.3">
      <c r="A28" s="6" t="s">
        <v>67</v>
      </c>
      <c r="B28" s="17" t="s">
        <v>29</v>
      </c>
      <c r="C28" s="6" t="s">
        <v>48</v>
      </c>
      <c r="D28" s="29" t="e">
        <f t="shared" ref="D28:AA28" si="8">D26/D7</f>
        <v>#DIV/0!</v>
      </c>
      <c r="E28" s="29" t="e">
        <f t="shared" si="8"/>
        <v>#DIV/0!</v>
      </c>
      <c r="F28" s="29">
        <f t="shared" si="8"/>
        <v>-5.1919062772619222</v>
      </c>
      <c r="G28" s="29">
        <f t="shared" si="8"/>
        <v>-2.3849581884139992</v>
      </c>
      <c r="H28" s="29">
        <f t="shared" si="8"/>
        <v>-2.6654666297424532</v>
      </c>
      <c r="I28" s="29">
        <f t="shared" si="8"/>
        <v>-2.1359223300970869</v>
      </c>
      <c r="J28" s="29">
        <f t="shared" si="8"/>
        <v>-2.1429572529782761</v>
      </c>
      <c r="K28" s="29">
        <f t="shared" si="8"/>
        <v>13.599397590361447</v>
      </c>
      <c r="L28" s="29">
        <f t="shared" si="8"/>
        <v>11.776966050709067</v>
      </c>
      <c r="M28" s="29">
        <f t="shared" si="8"/>
        <v>4.5434729958827802</v>
      </c>
      <c r="N28" s="29">
        <f t="shared" si="8"/>
        <v>1.5233892981340911</v>
      </c>
      <c r="O28" s="29">
        <f t="shared" si="8"/>
        <v>2.9706677761597668</v>
      </c>
      <c r="P28" s="29">
        <f t="shared" si="8"/>
        <v>12.541666666666666</v>
      </c>
      <c r="Q28" s="29">
        <f t="shared" si="8"/>
        <v>6.8543046357615864</v>
      </c>
      <c r="R28" s="29">
        <f t="shared" si="8"/>
        <v>40.000000000000142</v>
      </c>
      <c r="S28" s="29">
        <f t="shared" si="8"/>
        <v>-0.25328787140769604</v>
      </c>
      <c r="T28" s="29">
        <f t="shared" si="8"/>
        <v>-1.8287037037037039</v>
      </c>
      <c r="U28" s="29">
        <f t="shared" si="8"/>
        <v>1.5229417507321834</v>
      </c>
      <c r="V28" s="29">
        <f t="shared" si="8"/>
        <v>2.1500043758569385</v>
      </c>
      <c r="W28" s="29">
        <f t="shared" si="8"/>
        <v>-2.4408014571949002</v>
      </c>
      <c r="X28" s="29">
        <f t="shared" si="8"/>
        <v>0.74321192052980134</v>
      </c>
      <c r="Y28" s="29">
        <f t="shared" si="8"/>
        <v>3.8091900311526476</v>
      </c>
      <c r="Z28" s="29">
        <f t="shared" si="8"/>
        <v>1.6312858052196053</v>
      </c>
      <c r="AA28" s="29">
        <f t="shared" si="8"/>
        <v>1.0774307492098902</v>
      </c>
      <c r="AB28" s="29">
        <f t="shared" ref="AB28" si="9">AB26/AB7</f>
        <v>47.704000000000001</v>
      </c>
      <c r="AC28" s="1"/>
    </row>
    <row r="29" spans="1:29" x14ac:dyDescent="0.3">
      <c r="A29" s="15" t="s">
        <v>68</v>
      </c>
      <c r="B29" s="2" t="s">
        <v>30</v>
      </c>
      <c r="C29" s="1" t="s">
        <v>49</v>
      </c>
      <c r="D29" s="3">
        <f t="shared" ref="D29:AA29" si="10">D15-D14</f>
        <v>0</v>
      </c>
      <c r="E29" s="3">
        <f t="shared" si="10"/>
        <v>0</v>
      </c>
      <c r="F29" s="3">
        <f t="shared" si="10"/>
        <v>11.337745</v>
      </c>
      <c r="G29" s="3">
        <f t="shared" si="10"/>
        <v>15.896455</v>
      </c>
      <c r="H29" s="3">
        <f t="shared" si="10"/>
        <v>22.494</v>
      </c>
      <c r="I29" s="3">
        <f t="shared" si="10"/>
        <v>35.919000000000004</v>
      </c>
      <c r="J29" s="3">
        <f t="shared" si="10"/>
        <v>28.268999999999998</v>
      </c>
      <c r="K29" s="3">
        <f t="shared" si="10"/>
        <v>27.213999999999999</v>
      </c>
      <c r="L29" s="3">
        <f t="shared" si="10"/>
        <v>25.265000000000001</v>
      </c>
      <c r="M29" s="3">
        <f t="shared" si="10"/>
        <v>34.634999999999998</v>
      </c>
      <c r="N29" s="3">
        <f t="shared" si="10"/>
        <v>34.173999999999999</v>
      </c>
      <c r="O29" s="3">
        <f t="shared" si="10"/>
        <v>44.478999999999999</v>
      </c>
      <c r="P29" s="3">
        <f t="shared" si="10"/>
        <v>43.343999999999994</v>
      </c>
      <c r="Q29" s="3">
        <f t="shared" si="10"/>
        <v>48.649000000000001</v>
      </c>
      <c r="R29" s="3">
        <f t="shared" si="10"/>
        <v>95.403999999999996</v>
      </c>
      <c r="S29" s="3">
        <f t="shared" si="10"/>
        <v>116.30200000000001</v>
      </c>
      <c r="T29" s="3">
        <f t="shared" si="10"/>
        <v>156.6</v>
      </c>
      <c r="U29" s="3">
        <f t="shared" si="10"/>
        <v>178.79499999999999</v>
      </c>
      <c r="V29" s="3">
        <f t="shared" si="10"/>
        <v>119.453</v>
      </c>
      <c r="W29" s="3">
        <f t="shared" si="10"/>
        <v>128.755</v>
      </c>
      <c r="X29" s="3">
        <f t="shared" si="10"/>
        <v>121.065</v>
      </c>
      <c r="Y29" s="3">
        <f t="shared" si="10"/>
        <v>110.10000000000001</v>
      </c>
      <c r="Z29" s="3">
        <f t="shared" si="10"/>
        <v>146.9</v>
      </c>
      <c r="AA29" s="3">
        <f t="shared" si="10"/>
        <v>118.29999999999998</v>
      </c>
      <c r="AB29" s="3">
        <f t="shared" ref="AB29" si="11">AB15-AB14</f>
        <v>120.1</v>
      </c>
      <c r="AC29" s="1"/>
    </row>
    <row r="30" spans="1:29" x14ac:dyDescent="0.3">
      <c r="A30" s="6" t="s">
        <v>69</v>
      </c>
      <c r="B30" s="17" t="s">
        <v>31</v>
      </c>
      <c r="C30" s="6" t="s">
        <v>50</v>
      </c>
      <c r="D30" s="7">
        <f t="shared" ref="D30:AA30" si="12">D26+D29+D16+D17</f>
        <v>0</v>
      </c>
      <c r="E30" s="7">
        <f t="shared" si="12"/>
        <v>0</v>
      </c>
      <c r="F30" s="7">
        <f t="shared" si="12"/>
        <v>40.737745000000004</v>
      </c>
      <c r="G30" s="7">
        <f t="shared" si="12"/>
        <v>46.976455000000001</v>
      </c>
      <c r="H30" s="7">
        <f t="shared" si="12"/>
        <v>41.744</v>
      </c>
      <c r="I30" s="7">
        <f t="shared" si="12"/>
        <v>67.379000000000005</v>
      </c>
      <c r="J30" s="7">
        <f t="shared" si="12"/>
        <v>58.848999999999997</v>
      </c>
      <c r="K30" s="7">
        <f t="shared" si="12"/>
        <v>81.394000000000005</v>
      </c>
      <c r="L30" s="7">
        <f t="shared" si="12"/>
        <v>80.074999999999989</v>
      </c>
      <c r="M30" s="7">
        <f t="shared" si="12"/>
        <v>90.914999999999992</v>
      </c>
      <c r="N30" s="7">
        <f t="shared" si="12"/>
        <v>74.914000000000001</v>
      </c>
      <c r="O30" s="7">
        <f t="shared" si="12"/>
        <v>73.039000000000001</v>
      </c>
      <c r="P30" s="7">
        <f t="shared" si="12"/>
        <v>70.433999999999997</v>
      </c>
      <c r="Q30" s="7">
        <f t="shared" si="12"/>
        <v>63.138999999999996</v>
      </c>
      <c r="R30" s="7">
        <f t="shared" si="12"/>
        <v>112.56399999999999</v>
      </c>
      <c r="S30" s="7">
        <f t="shared" si="12"/>
        <v>122.542</v>
      </c>
      <c r="T30" s="7">
        <f t="shared" si="12"/>
        <v>187.41</v>
      </c>
      <c r="U30" s="7">
        <f t="shared" si="12"/>
        <v>197.51499999999999</v>
      </c>
      <c r="V30" s="7">
        <f t="shared" si="12"/>
        <v>193.15300000000002</v>
      </c>
      <c r="W30" s="7">
        <f t="shared" si="12"/>
        <v>170.29499999999999</v>
      </c>
      <c r="X30" s="7">
        <f t="shared" si="12"/>
        <v>165.95499999999998</v>
      </c>
      <c r="Y30" s="7">
        <f t="shared" si="12"/>
        <v>159.01</v>
      </c>
      <c r="Z30" s="7">
        <f t="shared" si="12"/>
        <v>198.155</v>
      </c>
      <c r="AA30" s="7">
        <f t="shared" si="12"/>
        <v>176.255</v>
      </c>
      <c r="AB30" s="7">
        <f t="shared" ref="AB30" si="13">AB26+AB29+AB16+AB17</f>
        <v>179.73</v>
      </c>
      <c r="AC30" s="1"/>
    </row>
    <row r="31" spans="1:29" x14ac:dyDescent="0.3">
      <c r="A31" s="1" t="s">
        <v>70</v>
      </c>
      <c r="B31" s="2" t="s">
        <v>32</v>
      </c>
      <c r="C31" s="1" t="s">
        <v>51</v>
      </c>
      <c r="D31" s="30" t="e">
        <f t="shared" ref="D31:AA31" si="14">D30/D7</f>
        <v>#DIV/0!</v>
      </c>
      <c r="E31" s="30" t="e">
        <f t="shared" si="14"/>
        <v>#DIV/0!</v>
      </c>
      <c r="F31" s="30">
        <f t="shared" si="14"/>
        <v>-7.1941004757481464</v>
      </c>
      <c r="G31" s="30">
        <f t="shared" si="14"/>
        <v>-3.6047902514450367</v>
      </c>
      <c r="H31" s="30">
        <f t="shared" si="14"/>
        <v>-5.7801163112711151</v>
      </c>
      <c r="I31" s="30">
        <f t="shared" si="14"/>
        <v>-4.5745807590467775</v>
      </c>
      <c r="J31" s="30">
        <f t="shared" si="14"/>
        <v>-4.1239663629992993</v>
      </c>
      <c r="K31" s="30">
        <f t="shared" si="14"/>
        <v>20.430220883534137</v>
      </c>
      <c r="L31" s="30">
        <f t="shared" si="14"/>
        <v>17.20562956596476</v>
      </c>
      <c r="M31" s="30">
        <f t="shared" si="14"/>
        <v>7.3395495277306848</v>
      </c>
      <c r="N31" s="30">
        <f t="shared" si="14"/>
        <v>2.8012564035448526</v>
      </c>
      <c r="O31" s="30">
        <f t="shared" si="14"/>
        <v>7.5971499895985017</v>
      </c>
      <c r="P31" s="30">
        <f t="shared" si="14"/>
        <v>32.608333333333327</v>
      </c>
      <c r="Q31" s="30">
        <f t="shared" si="14"/>
        <v>29.86707663197728</v>
      </c>
      <c r="R31" s="30">
        <f t="shared" si="14"/>
        <v>262.38694638694727</v>
      </c>
      <c r="S31" s="30">
        <f t="shared" si="14"/>
        <v>-4.9741029387887643</v>
      </c>
      <c r="T31" s="30">
        <f t="shared" si="14"/>
        <v>-11.1235754985755</v>
      </c>
      <c r="U31" s="30">
        <f t="shared" si="14"/>
        <v>16.068581191018549</v>
      </c>
      <c r="V31" s="30">
        <f t="shared" si="14"/>
        <v>5.6347326351410487</v>
      </c>
      <c r="W31" s="30">
        <f t="shared" si="14"/>
        <v>-10.00616957518068</v>
      </c>
      <c r="X31" s="30">
        <f t="shared" si="14"/>
        <v>2.7475993377483441</v>
      </c>
      <c r="Y31" s="30">
        <f t="shared" si="14"/>
        <v>12.383956386292834</v>
      </c>
      <c r="Z31" s="30">
        <f t="shared" si="14"/>
        <v>6.3066518141311265</v>
      </c>
      <c r="AA31" s="30">
        <f t="shared" si="14"/>
        <v>3.2767242981966906</v>
      </c>
      <c r="AB31" s="30">
        <f t="shared" ref="AB31" si="15">AB30/AB7</f>
        <v>143.78399999999999</v>
      </c>
      <c r="AC31" s="1"/>
    </row>
    <row r="32" spans="1:29" x14ac:dyDescent="0.3">
      <c r="A32" s="18" t="s">
        <v>72</v>
      </c>
      <c r="B32" s="17" t="s">
        <v>33</v>
      </c>
      <c r="C32" s="6" t="s">
        <v>109</v>
      </c>
      <c r="D32" s="27" t="e">
        <f t="shared" ref="D32:AA32" si="16">D7/D6</f>
        <v>#DIV/0!</v>
      </c>
      <c r="E32" s="27" t="e">
        <f t="shared" si="16"/>
        <v>#DIV/0!</v>
      </c>
      <c r="F32" s="27">
        <f t="shared" si="16"/>
        <v>-0.42277981540069626</v>
      </c>
      <c r="G32" s="27">
        <f t="shared" si="16"/>
        <v>-0.81800041239999544</v>
      </c>
      <c r="H32" s="27">
        <f t="shared" si="16"/>
        <v>-0.45547426841574173</v>
      </c>
      <c r="I32" s="27">
        <f t="shared" si="16"/>
        <v>-0.68580341760953589</v>
      </c>
      <c r="J32" s="27">
        <f t="shared" si="16"/>
        <v>-0.81047310728687449</v>
      </c>
      <c r="K32" s="27">
        <f t="shared" si="16"/>
        <v>0.16832854487071153</v>
      </c>
      <c r="L32" s="27">
        <f t="shared" si="16"/>
        <v>0.15609592487003185</v>
      </c>
      <c r="M32" s="27">
        <f t="shared" si="16"/>
        <v>0.44541531823085223</v>
      </c>
      <c r="N32" s="27">
        <f t="shared" si="16"/>
        <v>0.66684121284659892</v>
      </c>
      <c r="O32" s="27">
        <f t="shared" si="16"/>
        <v>0.21147797012824182</v>
      </c>
      <c r="P32" s="27">
        <f t="shared" si="16"/>
        <v>4.6132160095681517E-2</v>
      </c>
      <c r="Q32" s="27">
        <f t="shared" si="16"/>
        <v>6.1821903787103401E-2</v>
      </c>
      <c r="R32" s="27">
        <f t="shared" si="16"/>
        <v>1.2130294633263544E-2</v>
      </c>
      <c r="S32" s="27">
        <f t="shared" si="16"/>
        <v>-0.60434196001471852</v>
      </c>
      <c r="T32" s="27">
        <f t="shared" si="16"/>
        <v>-0.52648354738914405</v>
      </c>
      <c r="U32" s="27">
        <f t="shared" si="16"/>
        <v>0.34778180172023537</v>
      </c>
      <c r="V32" s="27">
        <f t="shared" si="16"/>
        <v>0.58715014901853324</v>
      </c>
      <c r="W32" s="27">
        <f t="shared" si="16"/>
        <v>-0.24754909090909089</v>
      </c>
      <c r="X32" s="27">
        <f t="shared" si="16"/>
        <v>0.75499056261796726</v>
      </c>
      <c r="Y32" s="27">
        <f t="shared" si="16"/>
        <v>0.13996075866579463</v>
      </c>
      <c r="Z32" s="27">
        <f t="shared" si="16"/>
        <v>0.41429324894514769</v>
      </c>
      <c r="AA32" s="27">
        <f t="shared" si="16"/>
        <v>0.78491171749598709</v>
      </c>
      <c r="AB32" s="27">
        <f t="shared" ref="AB32" si="17">AB7/AB6</f>
        <v>1.9394879751745538E-2</v>
      </c>
      <c r="AC32" s="1"/>
    </row>
    <row r="33" spans="1:29" x14ac:dyDescent="0.3">
      <c r="A33" s="16" t="s">
        <v>73</v>
      </c>
      <c r="B33" s="2" t="s">
        <v>34</v>
      </c>
      <c r="C33" s="1" t="s">
        <v>110</v>
      </c>
      <c r="D33" s="28" t="e">
        <f t="shared" ref="D33:AA33" si="18">D8/D6</f>
        <v>#DIV/0!</v>
      </c>
      <c r="E33" s="28" t="e">
        <f t="shared" si="18"/>
        <v>#DIV/0!</v>
      </c>
      <c r="F33" s="28">
        <f t="shared" si="18"/>
        <v>-1.4614952730259168</v>
      </c>
      <c r="G33" s="28">
        <f t="shared" si="18"/>
        <v>-1.7623019326620484</v>
      </c>
      <c r="H33" s="28">
        <f t="shared" si="18"/>
        <v>-1.6002144298688195</v>
      </c>
      <c r="I33" s="28">
        <f t="shared" si="18"/>
        <v>-1.5191600316617777</v>
      </c>
      <c r="J33" s="28">
        <f t="shared" si="18"/>
        <v>-1.7723632646106662</v>
      </c>
      <c r="K33" s="28">
        <f t="shared" si="18"/>
        <v>-0.32351698495859388</v>
      </c>
      <c r="L33" s="28">
        <f t="shared" si="18"/>
        <v>-0.28177092067751131</v>
      </c>
      <c r="M33" s="28">
        <f t="shared" si="18"/>
        <v>0.12135922330097088</v>
      </c>
      <c r="N33" s="28">
        <f t="shared" si="18"/>
        <v>0.42639138240574509</v>
      </c>
      <c r="O33" s="28">
        <f t="shared" si="18"/>
        <v>5.6377994324805884E-2</v>
      </c>
      <c r="P33" s="28">
        <f t="shared" si="18"/>
        <v>-0.20056810900858571</v>
      </c>
      <c r="Q33" s="28">
        <f t="shared" si="18"/>
        <v>-0.37783301652288348</v>
      </c>
      <c r="R33" s="28">
        <f t="shared" si="18"/>
        <v>-0.64635525646100778</v>
      </c>
      <c r="S33" s="28">
        <f t="shared" si="18"/>
        <v>-1.1242732736416043</v>
      </c>
      <c r="T33" s="28">
        <f t="shared" si="18"/>
        <v>-1.13155838880035</v>
      </c>
      <c r="U33" s="28">
        <f t="shared" si="18"/>
        <v>0.12061453146220008</v>
      </c>
      <c r="V33" s="28">
        <f t="shared" si="18"/>
        <v>0.40188756808605397</v>
      </c>
      <c r="W33" s="28">
        <f t="shared" si="18"/>
        <v>-0.3832872727272727</v>
      </c>
      <c r="X33" s="28">
        <f t="shared" si="18"/>
        <v>0.53279334008324897</v>
      </c>
      <c r="Y33" s="28">
        <f t="shared" si="18"/>
        <v>-0.16557662960540659</v>
      </c>
      <c r="Z33" s="28">
        <f t="shared" si="18"/>
        <v>5.3533755274261595E-2</v>
      </c>
      <c r="AA33" s="28">
        <f t="shared" si="18"/>
        <v>0.39719830731066685</v>
      </c>
      <c r="AB33" s="28">
        <f t="shared" ref="AB33" si="19">AB8/AB6</f>
        <v>-0.38013964313421256</v>
      </c>
      <c r="AC33" s="1"/>
    </row>
    <row r="34" spans="1:29" x14ac:dyDescent="0.3">
      <c r="A34" s="18" t="s">
        <v>74</v>
      </c>
      <c r="B34" s="17" t="s">
        <v>35</v>
      </c>
      <c r="C34" s="6" t="s">
        <v>54</v>
      </c>
      <c r="D34" s="27" t="e">
        <f t="shared" ref="D34:AA34" si="20">D11/D10</f>
        <v>#DIV/0!</v>
      </c>
      <c r="E34" s="27" t="e">
        <f t="shared" si="20"/>
        <v>#DIV/0!</v>
      </c>
      <c r="F34" s="27">
        <f t="shared" si="20"/>
        <v>0</v>
      </c>
      <c r="G34" s="27">
        <f t="shared" si="20"/>
        <v>0</v>
      </c>
      <c r="H34" s="27">
        <f t="shared" si="20"/>
        <v>0</v>
      </c>
      <c r="I34" s="27">
        <f t="shared" si="20"/>
        <v>0</v>
      </c>
      <c r="J34" s="27">
        <f t="shared" si="20"/>
        <v>-5.128768729164377E-4</v>
      </c>
      <c r="K34" s="27">
        <f t="shared" si="20"/>
        <v>-1.5204170286707212E-3</v>
      </c>
      <c r="L34" s="27">
        <f t="shared" si="20"/>
        <v>0</v>
      </c>
      <c r="M34" s="27">
        <f t="shared" si="20"/>
        <v>3.692307692307692E-2</v>
      </c>
      <c r="N34" s="27">
        <f t="shared" si="20"/>
        <v>9.8077677520596305E-4</v>
      </c>
      <c r="O34" s="27">
        <f t="shared" si="20"/>
        <v>3.4645669291338582E-2</v>
      </c>
      <c r="P34" s="27">
        <f t="shared" si="20"/>
        <v>-1.9453607375454621E-3</v>
      </c>
      <c r="Q34" s="27">
        <f t="shared" si="20"/>
        <v>-1.7704812489940445E-3</v>
      </c>
      <c r="R34" s="27">
        <f t="shared" si="20"/>
        <v>-1.6745369905221206E-3</v>
      </c>
      <c r="S34" s="27">
        <f t="shared" si="20"/>
        <v>-2.5310379437498637E-3</v>
      </c>
      <c r="T34" s="27">
        <f t="shared" si="20"/>
        <v>-5.5076188727740038E-3</v>
      </c>
      <c r="U34" s="27">
        <f t="shared" si="20"/>
        <v>0.24590163934426229</v>
      </c>
      <c r="V34" s="27">
        <f t="shared" si="20"/>
        <v>0.13498881431767337</v>
      </c>
      <c r="W34" s="27">
        <f t="shared" si="20"/>
        <v>-6.4154469012768604E-3</v>
      </c>
      <c r="X34" s="27">
        <f t="shared" si="20"/>
        <v>0.13238636363636364</v>
      </c>
      <c r="Y34" s="27">
        <f t="shared" si="20"/>
        <v>-3.771890435563538E-2</v>
      </c>
      <c r="Z34" s="27">
        <f t="shared" si="20"/>
        <v>-0.24132492113564669</v>
      </c>
      <c r="AA34" s="27">
        <f t="shared" si="20"/>
        <v>-6.006768189509306E-2</v>
      </c>
      <c r="AB34" s="27">
        <f t="shared" ref="AB34" si="21">AB11/AB10</f>
        <v>4.2707728065078443E-2</v>
      </c>
      <c r="AC34" s="1"/>
    </row>
    <row r="35" spans="1:29" x14ac:dyDescent="0.3">
      <c r="A35" s="16" t="s">
        <v>75</v>
      </c>
      <c r="B35" s="2" t="s">
        <v>36</v>
      </c>
      <c r="C35" s="1" t="s">
        <v>108</v>
      </c>
      <c r="D35" s="28" t="e">
        <f t="shared" ref="D35:AA35" si="22">D12/D6</f>
        <v>#DIV/0!</v>
      </c>
      <c r="E35" s="28" t="e">
        <f t="shared" si="22"/>
        <v>#DIV/0!</v>
      </c>
      <c r="F35" s="28">
        <f t="shared" si="22"/>
        <v>-0.19053933234407519</v>
      </c>
      <c r="G35" s="28">
        <f t="shared" si="22"/>
        <v>-0.71947886952185147</v>
      </c>
      <c r="H35" s="28">
        <f t="shared" si="22"/>
        <v>-1.3524848637739657</v>
      </c>
      <c r="I35" s="28">
        <f t="shared" si="22"/>
        <v>-1.0576430600176934</v>
      </c>
      <c r="J35" s="28">
        <f t="shared" si="22"/>
        <v>-1.5522803430453798</v>
      </c>
      <c r="K35" s="28">
        <f t="shared" si="22"/>
        <v>-0.38993577826601317</v>
      </c>
      <c r="L35" s="28">
        <f t="shared" si="22"/>
        <v>1.8336407848398457</v>
      </c>
      <c r="M35" s="28">
        <f t="shared" si="22"/>
        <v>1.1254944264653004E-2</v>
      </c>
      <c r="N35" s="28">
        <f t="shared" si="22"/>
        <v>0.37998703371234793</v>
      </c>
      <c r="O35" s="28">
        <f t="shared" si="22"/>
        <v>1.3132135236796376E-2</v>
      </c>
      <c r="P35" s="28">
        <f t="shared" si="22"/>
        <v>-0.28510102088761691</v>
      </c>
      <c r="Q35" s="28">
        <f t="shared" si="22"/>
        <v>-0.72677292001754645</v>
      </c>
      <c r="R35" s="28">
        <f t="shared" si="22"/>
        <v>-1.2438783011932364</v>
      </c>
      <c r="S35" s="28">
        <f t="shared" si="22"/>
        <v>-1.1271188519563351</v>
      </c>
      <c r="T35" s="28">
        <f t="shared" si="22"/>
        <v>-1.3692072122746166</v>
      </c>
      <c r="U35" s="28">
        <f t="shared" si="22"/>
        <v>1.0411951109099139E-2</v>
      </c>
      <c r="V35" s="28">
        <f t="shared" si="22"/>
        <v>0.3311465862765921</v>
      </c>
      <c r="W35" s="28">
        <f t="shared" si="22"/>
        <v>-0.4640727272727273</v>
      </c>
      <c r="X35" s="28">
        <f t="shared" si="22"/>
        <v>0.38170772865339181</v>
      </c>
      <c r="Y35" s="28">
        <f t="shared" si="22"/>
        <v>-0.21691737519075649</v>
      </c>
      <c r="Z35" s="28">
        <f t="shared" si="22"/>
        <v>-0.10390295358649788</v>
      </c>
      <c r="AA35" s="28">
        <f t="shared" si="22"/>
        <v>0.18269371078359842</v>
      </c>
      <c r="AB35" s="28">
        <f t="shared" ref="AB35" si="23">AB12/AB6</f>
        <v>-0.51140418929402631</v>
      </c>
      <c r="AC35" s="1"/>
    </row>
    <row r="36" spans="1:29" x14ac:dyDescent="0.3">
      <c r="A36" s="18" t="s">
        <v>76</v>
      </c>
      <c r="B36" s="17" t="s">
        <v>37</v>
      </c>
      <c r="C36" s="6" t="s">
        <v>56</v>
      </c>
      <c r="D36" s="29" t="e">
        <f t="shared" ref="D36:E36" si="24">D26/D12</f>
        <v>#DIV/0!</v>
      </c>
      <c r="E36" s="29" t="e">
        <f t="shared" si="24"/>
        <v>#DIV/0!</v>
      </c>
      <c r="F36" s="29">
        <f t="shared" ref="F36:AA36" si="25">IF(F26/F12&lt;0,0,F26/F12)</f>
        <v>0</v>
      </c>
      <c r="G36" s="29">
        <f t="shared" si="25"/>
        <v>0</v>
      </c>
      <c r="H36" s="29">
        <f t="shared" si="25"/>
        <v>0</v>
      </c>
      <c r="I36" s="29">
        <f t="shared" si="25"/>
        <v>0</v>
      </c>
      <c r="J36" s="29">
        <f t="shared" si="25"/>
        <v>0</v>
      </c>
      <c r="K36" s="29">
        <f t="shared" si="25"/>
        <v>0</v>
      </c>
      <c r="L36" s="29">
        <f t="shared" si="25"/>
        <v>1.0025608194622277</v>
      </c>
      <c r="M36" s="29">
        <f t="shared" si="25"/>
        <v>179.80830670926517</v>
      </c>
      <c r="N36" s="29">
        <f t="shared" si="25"/>
        <v>2.6734037666513553</v>
      </c>
      <c r="O36" s="29">
        <f t="shared" si="25"/>
        <v>47.8391959798995</v>
      </c>
      <c r="P36" s="29">
        <f t="shared" si="25"/>
        <v>0</v>
      </c>
      <c r="Q36" s="29">
        <f t="shared" si="25"/>
        <v>0</v>
      </c>
      <c r="R36" s="29">
        <f t="shared" si="25"/>
        <v>0</v>
      </c>
      <c r="S36" s="29">
        <f t="shared" si="25"/>
        <v>0</v>
      </c>
      <c r="T36" s="29">
        <f t="shared" si="25"/>
        <v>0</v>
      </c>
      <c r="U36" s="29">
        <f t="shared" si="25"/>
        <v>50.869565217391305</v>
      </c>
      <c r="V36" s="29">
        <f t="shared" si="25"/>
        <v>3.8121346919774481</v>
      </c>
      <c r="W36" s="29">
        <f t="shared" si="25"/>
        <v>0</v>
      </c>
      <c r="X36" s="29">
        <f t="shared" si="25"/>
        <v>1.4700199757671022</v>
      </c>
      <c r="Y36" s="29">
        <f t="shared" si="25"/>
        <v>0</v>
      </c>
      <c r="Z36" s="29">
        <f t="shared" si="25"/>
        <v>0</v>
      </c>
      <c r="AA36" s="29">
        <f t="shared" si="25"/>
        <v>4.6289936102236418</v>
      </c>
      <c r="AB36" s="29">
        <f t="shared" ref="AB36" si="26">IF(AB26/AB12&lt;0,0,AB26/AB12)</f>
        <v>0</v>
      </c>
      <c r="AC36" s="1"/>
    </row>
    <row r="37" spans="1:29" x14ac:dyDescent="0.3">
      <c r="A37" s="16" t="s">
        <v>77</v>
      </c>
      <c r="B37" s="2" t="s">
        <v>38</v>
      </c>
      <c r="C37" s="1" t="s">
        <v>57</v>
      </c>
      <c r="D37" s="30" t="e">
        <f t="shared" ref="D37:AA37" si="27">D26/D23</f>
        <v>#DIV/0!</v>
      </c>
      <c r="E37" s="30" t="e">
        <f t="shared" si="27"/>
        <v>#DIV/0!</v>
      </c>
      <c r="F37" s="30">
        <f t="shared" si="27"/>
        <v>1.1767253334955667</v>
      </c>
      <c r="G37" s="30">
        <f t="shared" si="27"/>
        <v>2.2983958188127547</v>
      </c>
      <c r="H37" s="30">
        <f t="shared" si="27"/>
        <v>1.6045678086188213</v>
      </c>
      <c r="I37" s="30">
        <f t="shared" si="27"/>
        <v>-2.9366190609539813</v>
      </c>
      <c r="J37" s="30">
        <f t="shared" si="27"/>
        <v>-0.84885496183206111</v>
      </c>
      <c r="K37" s="30">
        <f t="shared" si="27"/>
        <v>-1.1467637471955296</v>
      </c>
      <c r="L37" s="30">
        <f t="shared" si="27"/>
        <v>1.6156703218960027</v>
      </c>
      <c r="M37" s="30">
        <f t="shared" si="27"/>
        <v>1.6438836312653349</v>
      </c>
      <c r="N37" s="30">
        <f t="shared" si="27"/>
        <v>-12.851735015772871</v>
      </c>
      <c r="O37" s="30">
        <f t="shared" si="27"/>
        <v>-11.00578034682081</v>
      </c>
      <c r="P37" s="30">
        <f t="shared" si="27"/>
        <v>-1.6951379763469119</v>
      </c>
      <c r="Q37" s="30">
        <f t="shared" si="27"/>
        <v>-0.34140709674379149</v>
      </c>
      <c r="R37" s="30">
        <f t="shared" si="27"/>
        <v>-0.57883019631653509</v>
      </c>
      <c r="S37" s="30">
        <f t="shared" si="27"/>
        <v>-8.2547325810590932E-2</v>
      </c>
      <c r="T37" s="30">
        <f t="shared" si="27"/>
        <v>-0.25802075220460768</v>
      </c>
      <c r="U37" s="30">
        <f t="shared" si="27"/>
        <v>-0.15860374481064135</v>
      </c>
      <c r="V37" s="30">
        <f t="shared" si="27"/>
        <v>9.9554234769687966</v>
      </c>
      <c r="W37" s="30">
        <f t="shared" si="27"/>
        <v>-1.6616</v>
      </c>
      <c r="X37" s="30">
        <f t="shared" si="27"/>
        <v>8.0160714285714292</v>
      </c>
      <c r="Y37" s="30">
        <f t="shared" si="27"/>
        <v>-3.6774436090225557</v>
      </c>
      <c r="Z37" s="30">
        <f t="shared" si="27"/>
        <v>-2.1718220338983052</v>
      </c>
      <c r="AA37" s="30">
        <f t="shared" si="27"/>
        <v>-5.8540404040404033</v>
      </c>
      <c r="AB37" s="30">
        <f t="shared" ref="AB37" si="28">AB26/AB23</f>
        <v>-1.4403381642512079</v>
      </c>
      <c r="AC37" s="1"/>
    </row>
    <row r="38" spans="1:29" x14ac:dyDescent="0.3">
      <c r="A38" s="18" t="s">
        <v>78</v>
      </c>
      <c r="B38" s="17" t="s">
        <v>39</v>
      </c>
      <c r="C38" s="6" t="s">
        <v>106</v>
      </c>
      <c r="D38" s="55" t="e">
        <f t="shared" ref="D38:AA38" si="29">D8/D23</f>
        <v>#DIV/0!</v>
      </c>
      <c r="E38" s="55" t="e">
        <f t="shared" si="29"/>
        <v>#DIV/0!</v>
      </c>
      <c r="F38" s="55">
        <f t="shared" si="29"/>
        <v>-0.78348634098058045</v>
      </c>
      <c r="G38" s="55">
        <f t="shared" si="29"/>
        <v>-2.0762079427027964</v>
      </c>
      <c r="H38" s="55">
        <f t="shared" si="29"/>
        <v>-2.1149454030174213</v>
      </c>
      <c r="I38" s="55">
        <f t="shared" si="29"/>
        <v>3.0455521329226181</v>
      </c>
      <c r="J38" s="55">
        <f t="shared" si="29"/>
        <v>0.8662317834836919</v>
      </c>
      <c r="K38" s="55">
        <f t="shared" si="29"/>
        <v>0.1620666299792575</v>
      </c>
      <c r="L38" s="55">
        <f t="shared" si="29"/>
        <v>-0.247641787525056</v>
      </c>
      <c r="M38" s="55">
        <f t="shared" si="29"/>
        <v>9.858044164037856E-2</v>
      </c>
      <c r="N38" s="55">
        <f t="shared" si="29"/>
        <v>-5.3943217665615144</v>
      </c>
      <c r="O38" s="55">
        <f t="shared" si="29"/>
        <v>-0.98766859344894031</v>
      </c>
      <c r="P38" s="55">
        <f t="shared" si="29"/>
        <v>0.58763531693886495</v>
      </c>
      <c r="Q38" s="55">
        <f t="shared" si="29"/>
        <v>0.30441543753828754</v>
      </c>
      <c r="R38" s="55">
        <f t="shared" si="29"/>
        <v>0.77106523645685765</v>
      </c>
      <c r="S38" s="55">
        <f t="shared" si="29"/>
        <v>0.60628629635019116</v>
      </c>
      <c r="T38" s="55">
        <f t="shared" si="29"/>
        <v>0.30325184868812233</v>
      </c>
      <c r="U38" s="55">
        <f t="shared" si="29"/>
        <v>-3.6117936117936116E-2</v>
      </c>
      <c r="V38" s="55">
        <f t="shared" si="29"/>
        <v>3.1693907875185738</v>
      </c>
      <c r="W38" s="55">
        <f t="shared" si="29"/>
        <v>1.0540399999999999</v>
      </c>
      <c r="X38" s="55">
        <f t="shared" si="29"/>
        <v>7.6114285714285721</v>
      </c>
      <c r="Y38" s="55">
        <f t="shared" si="29"/>
        <v>1.1421052631578947</v>
      </c>
      <c r="Z38" s="55">
        <f t="shared" si="29"/>
        <v>-0.17203389830508473</v>
      </c>
      <c r="AA38" s="55">
        <f t="shared" si="29"/>
        <v>-2.7494949494949492</v>
      </c>
      <c r="AB38" s="55">
        <f t="shared" ref="AB38" si="30">AB8/AB23</f>
        <v>0.59178743961352664</v>
      </c>
      <c r="AC38" s="1"/>
    </row>
    <row r="39" spans="1:29" x14ac:dyDescent="0.3">
      <c r="A39" s="16" t="s">
        <v>79</v>
      </c>
      <c r="B39" s="2" t="s">
        <v>40</v>
      </c>
      <c r="C39" s="1" t="s">
        <v>107</v>
      </c>
      <c r="D39" s="56" t="e">
        <f t="shared" ref="D39:AA39" si="31">D12/D23</f>
        <v>#DIV/0!</v>
      </c>
      <c r="E39" s="56" t="e">
        <f t="shared" si="31"/>
        <v>#DIV/0!</v>
      </c>
      <c r="F39" s="56">
        <f t="shared" si="31"/>
        <v>-0.10214536240138421</v>
      </c>
      <c r="G39" s="56">
        <f t="shared" si="31"/>
        <v>-0.84763440124681322</v>
      </c>
      <c r="H39" s="56">
        <f t="shared" si="31"/>
        <v>-1.7875302158873052</v>
      </c>
      <c r="I39" s="56">
        <f t="shared" si="31"/>
        <v>2.1203211051992907</v>
      </c>
      <c r="J39" s="56">
        <f t="shared" si="31"/>
        <v>0.75866759195003475</v>
      </c>
      <c r="K39" s="56">
        <f t="shared" si="31"/>
        <v>0.19533928798205136</v>
      </c>
      <c r="L39" s="56">
        <f t="shared" si="31"/>
        <v>1.6115434500648509</v>
      </c>
      <c r="M39" s="56">
        <f t="shared" si="31"/>
        <v>9.1424231802780705E-3</v>
      </c>
      <c r="N39" s="56">
        <f t="shared" si="31"/>
        <v>-4.8072555205047323</v>
      </c>
      <c r="O39" s="56">
        <f t="shared" si="31"/>
        <v>-0.23005780346820806</v>
      </c>
      <c r="P39" s="56">
        <f t="shared" si="31"/>
        <v>0.83530442400350413</v>
      </c>
      <c r="Q39" s="56">
        <f t="shared" si="31"/>
        <v>0.5855520475001178</v>
      </c>
      <c r="R39" s="56">
        <f t="shared" si="31"/>
        <v>1.4838764082844229</v>
      </c>
      <c r="S39" s="56">
        <f t="shared" si="31"/>
        <v>0.60782082997102904</v>
      </c>
      <c r="T39" s="56">
        <f t="shared" si="31"/>
        <v>0.36694051537153816</v>
      </c>
      <c r="U39" s="56">
        <f t="shared" si="31"/>
        <v>-3.1178513937134625E-3</v>
      </c>
      <c r="V39" s="56">
        <f t="shared" si="31"/>
        <v>2.6115088477644197</v>
      </c>
      <c r="W39" s="56">
        <f t="shared" si="31"/>
        <v>1.2762</v>
      </c>
      <c r="X39" s="56">
        <f t="shared" si="31"/>
        <v>5.4530357142857149</v>
      </c>
      <c r="Y39" s="56">
        <f t="shared" si="31"/>
        <v>1.4962406015037593</v>
      </c>
      <c r="Z39" s="56">
        <f t="shared" si="31"/>
        <v>0.33389830508474572</v>
      </c>
      <c r="AA39" s="56">
        <f t="shared" si="31"/>
        <v>-1.2646464646464646</v>
      </c>
      <c r="AB39" s="56">
        <f t="shared" ref="AB39" si="32">AB12/AB23</f>
        <v>0.7961352657004831</v>
      </c>
      <c r="AC39" s="1"/>
    </row>
    <row r="40" spans="1:29" x14ac:dyDescent="0.3">
      <c r="A40" s="18" t="s">
        <v>80</v>
      </c>
      <c r="B40" s="17" t="s">
        <v>41</v>
      </c>
      <c r="C40" s="6" t="s">
        <v>61</v>
      </c>
      <c r="D40" s="7">
        <f t="shared" ref="D40:AA40" si="33">D20-D19</f>
        <v>0</v>
      </c>
      <c r="E40" s="7">
        <f t="shared" si="33"/>
        <v>0</v>
      </c>
      <c r="F40" s="7">
        <f t="shared" si="33"/>
        <v>-1.284315000000003</v>
      </c>
      <c r="G40" s="7">
        <f t="shared" si="33"/>
        <v>-9.0013300000000029</v>
      </c>
      <c r="H40" s="7">
        <f t="shared" si="33"/>
        <v>-21.852999999999998</v>
      </c>
      <c r="I40" s="7">
        <f t="shared" si="33"/>
        <v>-23.364999999999995</v>
      </c>
      <c r="J40" s="7">
        <f t="shared" si="33"/>
        <v>-41.661000000000001</v>
      </c>
      <c r="K40" s="7">
        <f t="shared" si="33"/>
        <v>-60.706000000000003</v>
      </c>
      <c r="L40" s="7">
        <f t="shared" si="33"/>
        <v>39.823999999999998</v>
      </c>
      <c r="M40" s="7">
        <f t="shared" si="33"/>
        <v>51.594999999999992</v>
      </c>
      <c r="N40" s="7">
        <f t="shared" si="33"/>
        <v>0.14900000000000091</v>
      </c>
      <c r="O40" s="7">
        <f t="shared" si="33"/>
        <v>-33.923999999999999</v>
      </c>
      <c r="P40" s="7">
        <f t="shared" si="33"/>
        <v>-14.685999999999998</v>
      </c>
      <c r="Q40" s="7">
        <f t="shared" si="33"/>
        <v>-39.920999999999999</v>
      </c>
      <c r="R40" s="7">
        <f t="shared" si="33"/>
        <v>-89.039000000000001</v>
      </c>
      <c r="S40" s="7">
        <f t="shared" si="33"/>
        <v>-77.712999999999994</v>
      </c>
      <c r="T40" s="7">
        <f t="shared" si="33"/>
        <v>-123.42300000000002</v>
      </c>
      <c r="U40" s="7">
        <f t="shared" si="33"/>
        <v>-156.80000000000001</v>
      </c>
      <c r="V40" s="7">
        <f t="shared" si="33"/>
        <v>-51.311</v>
      </c>
      <c r="W40" s="7">
        <f t="shared" si="33"/>
        <v>-79.242999999999995</v>
      </c>
      <c r="X40" s="7">
        <f t="shared" si="33"/>
        <v>-99.315999999999988</v>
      </c>
      <c r="Y40" s="7">
        <f t="shared" si="33"/>
        <v>-144.30000000000001</v>
      </c>
      <c r="Z40" s="7">
        <f t="shared" si="33"/>
        <v>-95.100000000000009</v>
      </c>
      <c r="AA40" s="7">
        <f t="shared" si="33"/>
        <v>-80.400000000000006</v>
      </c>
      <c r="AB40" s="7">
        <f t="shared" ref="AB40" si="34">AB20-AB19</f>
        <v>-155.19999999999999</v>
      </c>
      <c r="AC40" s="1"/>
    </row>
    <row r="41" spans="1:29" x14ac:dyDescent="0.3">
      <c r="A41" s="53" t="s">
        <v>96</v>
      </c>
      <c r="B41" s="49" t="s">
        <v>42</v>
      </c>
      <c r="C41" s="52" t="s">
        <v>98</v>
      </c>
      <c r="D41" s="29" t="e">
        <f t="shared" ref="D41:I41" si="35">D20/D19</f>
        <v>#DIV/0!</v>
      </c>
      <c r="E41" s="29" t="e">
        <f t="shared" si="35"/>
        <v>#DIV/0!</v>
      </c>
      <c r="F41" s="29">
        <f t="shared" si="35"/>
        <v>0.93301079649091867</v>
      </c>
      <c r="G41" s="29">
        <f t="shared" si="35"/>
        <v>0.7312612657664751</v>
      </c>
      <c r="H41" s="29">
        <f t="shared" si="35"/>
        <v>0.46542234399080212</v>
      </c>
      <c r="I41" s="29">
        <f t="shared" si="35"/>
        <v>0.50025666253154821</v>
      </c>
      <c r="J41" s="29">
        <f t="shared" ref="J41:AA41" si="36">J20/J19</f>
        <v>0.40524219452653221</v>
      </c>
      <c r="K41" s="29">
        <f t="shared" si="36"/>
        <v>0.32983010057074724</v>
      </c>
      <c r="L41" s="29">
        <f t="shared" si="36"/>
        <v>2.3395674257459045</v>
      </c>
      <c r="M41" s="29">
        <f t="shared" si="36"/>
        <v>3.4022255331036404</v>
      </c>
      <c r="N41" s="29">
        <f t="shared" si="36"/>
        <v>1.0056894115850166</v>
      </c>
      <c r="O41" s="29">
        <f t="shared" si="36"/>
        <v>0.29907642719890903</v>
      </c>
      <c r="P41" s="29">
        <f t="shared" si="36"/>
        <v>0.35343840803028975</v>
      </c>
      <c r="Q41" s="29">
        <f t="shared" si="36"/>
        <v>0.14922319544786139</v>
      </c>
      <c r="R41" s="29">
        <f t="shared" si="36"/>
        <v>0.21033913938060944</v>
      </c>
      <c r="S41" s="29">
        <f t="shared" si="36"/>
        <v>0.18782463291006951</v>
      </c>
      <c r="T41" s="29">
        <f t="shared" si="36"/>
        <v>0.14170375521557718</v>
      </c>
      <c r="U41" s="29">
        <f t="shared" si="36"/>
        <v>0.13787889617708671</v>
      </c>
      <c r="V41" s="29">
        <f t="shared" si="36"/>
        <v>0.46222212905998133</v>
      </c>
      <c r="W41" s="29">
        <f t="shared" si="36"/>
        <v>0.25605302439986105</v>
      </c>
      <c r="X41" s="29">
        <f t="shared" si="36"/>
        <v>0.47873278468256636</v>
      </c>
      <c r="Y41" s="29">
        <f t="shared" si="36"/>
        <v>0.16733987305251008</v>
      </c>
      <c r="Z41" s="29">
        <f t="shared" si="36"/>
        <v>0.32505322924059615</v>
      </c>
      <c r="AA41" s="29">
        <f t="shared" si="36"/>
        <v>0.4504442925495557</v>
      </c>
      <c r="AB41" s="29">
        <f t="shared" ref="AB41" si="37">AB20/AB19</f>
        <v>0.23697148475909538</v>
      </c>
      <c r="AC41" s="1"/>
    </row>
    <row r="42" spans="1:29" x14ac:dyDescent="0.3">
      <c r="A42" s="16" t="s">
        <v>81</v>
      </c>
      <c r="B42" s="17" t="s">
        <v>43</v>
      </c>
      <c r="C42" s="1" t="s">
        <v>60</v>
      </c>
      <c r="D42" s="30" t="e">
        <f t="shared" ref="D42:I42" si="38">(D20-D21)/D19</f>
        <v>#DIV/0!</v>
      </c>
      <c r="E42" s="30" t="e">
        <f t="shared" si="38"/>
        <v>#DIV/0!</v>
      </c>
      <c r="F42" s="30">
        <f t="shared" si="38"/>
        <v>0.93301079649091867</v>
      </c>
      <c r="G42" s="30">
        <f t="shared" si="38"/>
        <v>0.7312612657664751</v>
      </c>
      <c r="H42" s="30">
        <f t="shared" si="38"/>
        <v>0.46542234399080212</v>
      </c>
      <c r="I42" s="30">
        <f t="shared" si="38"/>
        <v>0.50025666253154821</v>
      </c>
      <c r="J42" s="30">
        <f t="shared" ref="J42:AA42" si="39">(J20-J21)/J19</f>
        <v>0.40524219452653221</v>
      </c>
      <c r="K42" s="30">
        <f t="shared" si="39"/>
        <v>0.32983010057074724</v>
      </c>
      <c r="L42" s="30">
        <f t="shared" si="39"/>
        <v>2.3395674257459045</v>
      </c>
      <c r="M42" s="30">
        <f t="shared" si="39"/>
        <v>3.4022255331036404</v>
      </c>
      <c r="N42" s="30">
        <f t="shared" si="39"/>
        <v>1.0056894115850166</v>
      </c>
      <c r="O42" s="30">
        <f t="shared" si="39"/>
        <v>0.29907642719890903</v>
      </c>
      <c r="P42" s="30">
        <f t="shared" si="39"/>
        <v>0.35343840803028975</v>
      </c>
      <c r="Q42" s="30">
        <f t="shared" si="39"/>
        <v>0.14922319544786139</v>
      </c>
      <c r="R42" s="30">
        <f t="shared" si="39"/>
        <v>0.21033913938060944</v>
      </c>
      <c r="S42" s="30">
        <f t="shared" si="39"/>
        <v>0.18782463291006951</v>
      </c>
      <c r="T42" s="30">
        <f t="shared" si="39"/>
        <v>0.14170375521557718</v>
      </c>
      <c r="U42" s="30">
        <f t="shared" si="39"/>
        <v>0.13787889617708671</v>
      </c>
      <c r="V42" s="30">
        <f t="shared" si="39"/>
        <v>0.45383752738096489</v>
      </c>
      <c r="W42" s="30">
        <f t="shared" si="39"/>
        <v>0.24760366889792243</v>
      </c>
      <c r="X42" s="30">
        <f t="shared" si="39"/>
        <v>0.47348421229425602</v>
      </c>
      <c r="Y42" s="30">
        <f t="shared" si="39"/>
        <v>0.15926139642238893</v>
      </c>
      <c r="Z42" s="30">
        <f t="shared" si="39"/>
        <v>0.31582682753726044</v>
      </c>
      <c r="AA42" s="30">
        <f t="shared" si="39"/>
        <v>0.44019138755980863</v>
      </c>
      <c r="AB42" s="30">
        <f t="shared" ref="AB42" si="40">(AB20-AB21)/AB19</f>
        <v>0.22910521140609635</v>
      </c>
      <c r="AC42" s="1"/>
    </row>
    <row r="43" spans="1:29" x14ac:dyDescent="0.3">
      <c r="A43" s="18" t="s">
        <v>82</v>
      </c>
      <c r="B43" s="49" t="s">
        <v>44</v>
      </c>
      <c r="C43" s="6" t="s">
        <v>62</v>
      </c>
      <c r="D43" s="29" t="e">
        <f t="shared" ref="D43:I43" si="41">D14/D19</f>
        <v>#DIV/0!</v>
      </c>
      <c r="E43" s="29" t="e">
        <f t="shared" si="41"/>
        <v>#DIV/0!</v>
      </c>
      <c r="F43" s="29">
        <f t="shared" si="41"/>
        <v>3.7725648433624713E-2</v>
      </c>
      <c r="G43" s="29">
        <f t="shared" si="41"/>
        <v>3.9431582137187272E-3</v>
      </c>
      <c r="H43" s="29">
        <f t="shared" si="41"/>
        <v>7.397441228992882E-2</v>
      </c>
      <c r="I43" s="29">
        <f t="shared" si="41"/>
        <v>9.6676220216452072E-3</v>
      </c>
      <c r="J43" s="29">
        <f t="shared" ref="J43:AA43" si="42">J14/J19</f>
        <v>6.0359472925321567E-2</v>
      </c>
      <c r="K43" s="29">
        <f t="shared" si="42"/>
        <v>3.857235905191924E-2</v>
      </c>
      <c r="L43" s="29">
        <f t="shared" si="42"/>
        <v>1.557401863500286E-2</v>
      </c>
      <c r="M43" s="29">
        <f t="shared" si="42"/>
        <v>6.0992643635347796E-3</v>
      </c>
      <c r="N43" s="29">
        <f t="shared" si="42"/>
        <v>3.4747413036007486E-2</v>
      </c>
      <c r="O43" s="29">
        <f t="shared" si="42"/>
        <v>-1.4711047748920431E-2</v>
      </c>
      <c r="P43" s="29">
        <f t="shared" si="42"/>
        <v>2.5446860966804614E-2</v>
      </c>
      <c r="Q43" s="29">
        <f t="shared" si="42"/>
        <v>7.9705048696801142E-3</v>
      </c>
      <c r="R43" s="29">
        <f t="shared" si="42"/>
        <v>1.3835183936996701E-3</v>
      </c>
      <c r="S43" s="29">
        <f t="shared" si="42"/>
        <v>6.6886136803051685E-4</v>
      </c>
      <c r="T43" s="29">
        <f t="shared" si="42"/>
        <v>8.7343532684283718E-3</v>
      </c>
      <c r="U43" s="29">
        <f t="shared" si="42"/>
        <v>1.0677545813929193E-2</v>
      </c>
      <c r="V43" s="29">
        <f t="shared" si="42"/>
        <v>0.11109597224696845</v>
      </c>
      <c r="W43" s="29">
        <f t="shared" si="42"/>
        <v>3.0980970173775078E-2</v>
      </c>
      <c r="X43" s="29">
        <f t="shared" si="42"/>
        <v>3.3097497480685252E-2</v>
      </c>
      <c r="Y43" s="29">
        <f t="shared" si="42"/>
        <v>1.0386612810155798E-2</v>
      </c>
      <c r="Z43" s="29">
        <f t="shared" si="42"/>
        <v>2.4840312278211495E-2</v>
      </c>
      <c r="AA43" s="29">
        <f t="shared" si="42"/>
        <v>0.10526315789473684</v>
      </c>
      <c r="AB43" s="29">
        <f t="shared" ref="AB43" si="43">AB14/AB19</f>
        <v>4.71976401179941E-2</v>
      </c>
      <c r="AC43" s="1"/>
    </row>
    <row r="44" spans="1:29" x14ac:dyDescent="0.3">
      <c r="A44" s="16" t="s">
        <v>83</v>
      </c>
      <c r="B44" s="17" t="s">
        <v>45</v>
      </c>
      <c r="C44" s="1" t="s">
        <v>63</v>
      </c>
      <c r="D44" s="30" t="e">
        <f t="shared" ref="D44:AA44" si="44">D29/D7</f>
        <v>#DIV/0!</v>
      </c>
      <c r="E44" s="30" t="e">
        <f t="shared" si="44"/>
        <v>#DIV/0!</v>
      </c>
      <c r="F44" s="30">
        <f t="shared" si="44"/>
        <v>-2.0021941984862237</v>
      </c>
      <c r="G44" s="30">
        <f t="shared" si="44"/>
        <v>-1.2198320630310377</v>
      </c>
      <c r="H44" s="30">
        <f t="shared" si="44"/>
        <v>-3.114649681528662</v>
      </c>
      <c r="I44" s="30">
        <f t="shared" si="44"/>
        <v>-2.4386584289496911</v>
      </c>
      <c r="J44" s="30">
        <f t="shared" si="44"/>
        <v>-1.981009110021023</v>
      </c>
      <c r="K44" s="30">
        <f t="shared" si="44"/>
        <v>6.8308232931726902</v>
      </c>
      <c r="L44" s="30">
        <f t="shared" si="44"/>
        <v>5.4286635152556943</v>
      </c>
      <c r="M44" s="30">
        <f t="shared" si="44"/>
        <v>2.7960765318479046</v>
      </c>
      <c r="N44" s="30">
        <f t="shared" si="44"/>
        <v>1.2778671054107615</v>
      </c>
      <c r="O44" s="30">
        <f t="shared" si="44"/>
        <v>4.6264822134387344</v>
      </c>
      <c r="P44" s="30">
        <f t="shared" si="44"/>
        <v>20.066666666666663</v>
      </c>
      <c r="Q44" s="30">
        <f t="shared" si="44"/>
        <v>23.012771996215697</v>
      </c>
      <c r="R44" s="30">
        <f t="shared" si="44"/>
        <v>222.38694638694716</v>
      </c>
      <c r="S44" s="30">
        <f t="shared" si="44"/>
        <v>-4.7208150673810678</v>
      </c>
      <c r="T44" s="30">
        <f t="shared" si="44"/>
        <v>-9.2948717948717956</v>
      </c>
      <c r="U44" s="30">
        <f t="shared" si="44"/>
        <v>14.545639440286365</v>
      </c>
      <c r="V44" s="30">
        <f t="shared" si="44"/>
        <v>3.4847282592841093</v>
      </c>
      <c r="W44" s="30">
        <f t="shared" si="44"/>
        <v>-7.5653681179857815</v>
      </c>
      <c r="X44" s="30">
        <f t="shared" si="44"/>
        <v>2.0043874172185432</v>
      </c>
      <c r="Y44" s="30">
        <f t="shared" si="44"/>
        <v>8.5747663551401878</v>
      </c>
      <c r="Z44" s="30">
        <f t="shared" si="44"/>
        <v>4.6753660089115217</v>
      </c>
      <c r="AA44" s="30">
        <f t="shared" si="44"/>
        <v>2.1992935489868004</v>
      </c>
      <c r="AB44" s="30">
        <f t="shared" ref="AB44" si="45">AB29/AB7</f>
        <v>96.08</v>
      </c>
      <c r="AC44" s="1"/>
    </row>
    <row r="45" spans="1:29" x14ac:dyDescent="0.3">
      <c r="A45" s="18" t="s">
        <v>84</v>
      </c>
      <c r="B45" s="54" t="s">
        <v>99</v>
      </c>
      <c r="C45" s="6" t="s">
        <v>64</v>
      </c>
      <c r="D45" s="29" t="e">
        <f t="shared" ref="D45:AA45" si="46">D18/D23</f>
        <v>#DIV/0!</v>
      </c>
      <c r="E45" s="29" t="e">
        <f t="shared" si="46"/>
        <v>#DIV/0!</v>
      </c>
      <c r="F45" s="29">
        <f t="shared" si="46"/>
        <v>1.330015421505816</v>
      </c>
      <c r="G45" s="29">
        <f t="shared" si="46"/>
        <v>3.0180710261989763</v>
      </c>
      <c r="H45" s="29">
        <f t="shared" si="46"/>
        <v>4.695507210135867</v>
      </c>
      <c r="I45" s="29">
        <f t="shared" si="46"/>
        <v>-5.8066834686829081</v>
      </c>
      <c r="J45" s="29">
        <f t="shared" si="46"/>
        <v>-2.7864260929909785</v>
      </c>
      <c r="K45" s="29">
        <f t="shared" si="46"/>
        <v>-2.2597680226897516</v>
      </c>
      <c r="L45" s="29">
        <f t="shared" si="46"/>
        <v>1.447087607593444</v>
      </c>
      <c r="M45" s="29">
        <f t="shared" si="46"/>
        <v>1.1928963663979439</v>
      </c>
      <c r="N45" s="29">
        <f t="shared" si="46"/>
        <v>-40.419873817034699</v>
      </c>
      <c r="O45" s="29">
        <f t="shared" si="46"/>
        <v>-56.268208092485544</v>
      </c>
      <c r="P45" s="29">
        <f t="shared" si="46"/>
        <v>-8.9132720105124843</v>
      </c>
      <c r="Q45" s="29">
        <f t="shared" si="46"/>
        <v>-4.0749729041986704</v>
      </c>
      <c r="R45" s="29">
        <f t="shared" si="46"/>
        <v>-5.6040612561559735</v>
      </c>
      <c r="S45" s="29">
        <f t="shared" si="46"/>
        <v>-2.9103356130858677</v>
      </c>
      <c r="T45" s="29">
        <f t="shared" si="46"/>
        <v>-2.1679521644097175</v>
      </c>
      <c r="U45" s="29">
        <f t="shared" si="46"/>
        <v>-2.2433449123104294</v>
      </c>
      <c r="V45" s="29">
        <f t="shared" si="46"/>
        <v>30.865730109415104</v>
      </c>
      <c r="W45" s="29">
        <f t="shared" si="46"/>
        <v>-9.9717199999999995</v>
      </c>
      <c r="X45" s="29">
        <f t="shared" si="46"/>
        <v>55.514107142857149</v>
      </c>
      <c r="Y45" s="29">
        <f t="shared" si="46"/>
        <v>-21.248120300751879</v>
      </c>
      <c r="Z45" s="29">
        <f t="shared" si="46"/>
        <v>-13.762711864406779</v>
      </c>
      <c r="AA45" s="29">
        <f t="shared" si="46"/>
        <v>-30.161616161616163</v>
      </c>
      <c r="AB45" s="29">
        <f t="shared" ref="AB45" si="47">AB18/AB23</f>
        <v>-7.5024154589371985</v>
      </c>
      <c r="AC45" s="1"/>
    </row>
    <row r="46" spans="1:29" x14ac:dyDescent="0.3">
      <c r="A46" s="18" t="s">
        <v>97</v>
      </c>
      <c r="B46" s="17" t="s">
        <v>100</v>
      </c>
      <c r="C46" s="6" t="s">
        <v>111</v>
      </c>
      <c r="D46" s="28">
        <f t="shared" ref="D46:AB46" si="48">D13/D4</f>
        <v>0</v>
      </c>
      <c r="E46" s="28">
        <f t="shared" si="48"/>
        <v>0</v>
      </c>
      <c r="F46" s="28">
        <f t="shared" si="48"/>
        <v>0</v>
      </c>
      <c r="G46" s="28">
        <f t="shared" si="48"/>
        <v>0</v>
      </c>
      <c r="H46" s="28">
        <f t="shared" si="48"/>
        <v>0</v>
      </c>
      <c r="I46" s="28">
        <f t="shared" si="48"/>
        <v>0</v>
      </c>
      <c r="J46" s="28">
        <f t="shared" si="48"/>
        <v>0</v>
      </c>
      <c r="K46" s="28">
        <f t="shared" si="48"/>
        <v>0</v>
      </c>
      <c r="L46" s="28">
        <f t="shared" si="48"/>
        <v>0</v>
      </c>
      <c r="M46" s="28">
        <f t="shared" si="48"/>
        <v>0</v>
      </c>
      <c r="N46" s="28">
        <f t="shared" si="48"/>
        <v>0</v>
      </c>
      <c r="O46" s="28">
        <f t="shared" si="48"/>
        <v>0</v>
      </c>
      <c r="P46" s="28">
        <f t="shared" si="48"/>
        <v>0</v>
      </c>
      <c r="Q46" s="28">
        <f t="shared" si="48"/>
        <v>0</v>
      </c>
      <c r="R46" s="28">
        <f t="shared" si="48"/>
        <v>0</v>
      </c>
      <c r="S46" s="28">
        <f t="shared" si="48"/>
        <v>0</v>
      </c>
      <c r="T46" s="28">
        <f t="shared" si="48"/>
        <v>0</v>
      </c>
      <c r="U46" s="28">
        <f t="shared" si="48"/>
        <v>0</v>
      </c>
      <c r="V46" s="28">
        <f t="shared" si="48"/>
        <v>0</v>
      </c>
      <c r="W46" s="28">
        <f t="shared" si="48"/>
        <v>0</v>
      </c>
      <c r="X46" s="28">
        <f t="shared" si="48"/>
        <v>0</v>
      </c>
      <c r="Y46" s="28">
        <f t="shared" si="48"/>
        <v>0</v>
      </c>
      <c r="Z46" s="28">
        <f t="shared" si="48"/>
        <v>0</v>
      </c>
      <c r="AA46" s="28">
        <f t="shared" si="48"/>
        <v>0</v>
      </c>
      <c r="AB46" s="28">
        <f t="shared" si="48"/>
        <v>0</v>
      </c>
      <c r="AC46" s="1"/>
    </row>
  </sheetData>
  <mergeCells count="2">
    <mergeCell ref="A6:A13"/>
    <mergeCell ref="A14:A23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EA8C1-D61D-4F51-9374-520D270EB60A}">
  <sheetPr codeName="Planilha41"/>
  <dimension ref="A3:AO46"/>
  <sheetViews>
    <sheetView workbookViewId="0">
      <pane xSplit="3" ySplit="3" topLeftCell="W4" activePane="bottomRight" state="frozen"/>
      <selection activeCell="C22" sqref="C22"/>
      <selection pane="topRight" activeCell="C22" sqref="C22"/>
      <selection pane="bottomLeft" activeCell="C22" sqref="C22"/>
      <selection pane="bottomRight" activeCell="AP39" sqref="AP39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40" width="8.33203125" customWidth="1"/>
  </cols>
  <sheetData>
    <row r="3" spans="1:41" s="10" customFormat="1" x14ac:dyDescent="0.3">
      <c r="A3" s="9" t="s">
        <v>25</v>
      </c>
      <c r="B3" s="8" t="s">
        <v>23</v>
      </c>
      <c r="C3" s="9" t="s">
        <v>24</v>
      </c>
      <c r="D3" s="8">
        <v>85</v>
      </c>
      <c r="E3" s="8">
        <v>86</v>
      </c>
      <c r="F3" s="8">
        <v>87</v>
      </c>
      <c r="G3" s="8">
        <v>88</v>
      </c>
      <c r="H3" s="8">
        <v>89</v>
      </c>
      <c r="I3" s="8">
        <v>90</v>
      </c>
      <c r="J3" s="8">
        <v>91</v>
      </c>
      <c r="K3" s="8">
        <v>92</v>
      </c>
      <c r="L3" s="8">
        <v>93</v>
      </c>
      <c r="M3" s="8">
        <v>94</v>
      </c>
      <c r="N3" s="8">
        <v>95</v>
      </c>
      <c r="O3" s="8">
        <v>96</v>
      </c>
      <c r="P3" s="8">
        <v>97</v>
      </c>
      <c r="Q3" s="8">
        <v>98</v>
      </c>
      <c r="R3" s="8">
        <v>99</v>
      </c>
      <c r="S3" s="8">
        <v>2000</v>
      </c>
      <c r="T3" s="8">
        <v>1</v>
      </c>
      <c r="U3" s="8">
        <v>2</v>
      </c>
      <c r="V3" s="8">
        <v>3</v>
      </c>
      <c r="W3" s="8">
        <v>4</v>
      </c>
      <c r="X3" s="8">
        <v>5</v>
      </c>
      <c r="Y3" s="8">
        <v>6</v>
      </c>
      <c r="Z3" s="8">
        <v>7</v>
      </c>
      <c r="AA3" s="8">
        <v>8</v>
      </c>
      <c r="AB3" s="8">
        <v>9</v>
      </c>
      <c r="AC3" s="8">
        <v>10</v>
      </c>
      <c r="AD3" s="8">
        <v>11</v>
      </c>
      <c r="AE3" s="8">
        <v>12</v>
      </c>
      <c r="AF3" s="8">
        <v>13</v>
      </c>
      <c r="AG3" s="8">
        <v>14</v>
      </c>
      <c r="AH3" s="8">
        <v>15</v>
      </c>
      <c r="AI3" s="8">
        <v>16</v>
      </c>
      <c r="AJ3" s="8">
        <v>17</v>
      </c>
      <c r="AK3" s="8">
        <v>18</v>
      </c>
      <c r="AL3" s="8">
        <v>19</v>
      </c>
      <c r="AM3" s="8">
        <v>20</v>
      </c>
      <c r="AN3" s="8" t="s">
        <v>3</v>
      </c>
      <c r="AO3" s="8" t="s">
        <v>94</v>
      </c>
    </row>
    <row r="4" spans="1:41" x14ac:dyDescent="0.3">
      <c r="A4" s="4" t="s">
        <v>5</v>
      </c>
      <c r="B4" s="11">
        <v>1</v>
      </c>
      <c r="C4" s="6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>
        <v>1.0809523809523809</v>
      </c>
      <c r="R4" s="19">
        <v>1.019047619047619</v>
      </c>
      <c r="S4" s="19">
        <v>1.1690476190476191</v>
      </c>
      <c r="T4" s="19">
        <v>1.2</v>
      </c>
      <c r="U4" s="19">
        <v>0.65</v>
      </c>
      <c r="V4" s="19">
        <v>0.75</v>
      </c>
      <c r="W4" s="19">
        <v>1.0095238095238095</v>
      </c>
      <c r="X4" s="19">
        <v>1.3309523809523809</v>
      </c>
      <c r="Y4" s="19">
        <v>1.9904761904761905</v>
      </c>
      <c r="Z4" s="19">
        <v>4.230952380952381</v>
      </c>
      <c r="AA4" s="19">
        <v>0.6</v>
      </c>
      <c r="AB4" s="19">
        <v>0.96</v>
      </c>
      <c r="AC4" s="19">
        <v>0.73</v>
      </c>
      <c r="AD4" s="19">
        <v>0.21</v>
      </c>
      <c r="AE4" s="19">
        <v>0.32</v>
      </c>
      <c r="AF4" s="19">
        <v>0.89</v>
      </c>
      <c r="AG4" s="19">
        <v>0.71099999999999997</v>
      </c>
      <c r="AH4" s="19">
        <v>0.314</v>
      </c>
      <c r="AI4" s="19">
        <v>0.186</v>
      </c>
      <c r="AJ4" s="19">
        <v>0.223</v>
      </c>
      <c r="AK4" s="19">
        <v>0.13500000000000001</v>
      </c>
      <c r="AL4" s="19">
        <v>0.154</v>
      </c>
      <c r="AM4" s="98">
        <v>9.0399999999999994E-2</v>
      </c>
      <c r="AN4" s="98">
        <v>9.4200000000000006E-2</v>
      </c>
      <c r="AO4" s="99">
        <v>0.10100000000000001</v>
      </c>
    </row>
    <row r="5" spans="1:41" x14ac:dyDescent="0.3">
      <c r="A5" s="5" t="s">
        <v>8</v>
      </c>
      <c r="B5" s="12">
        <v>3</v>
      </c>
      <c r="C5" s="1" t="s">
        <v>86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>
        <v>372.5</v>
      </c>
      <c r="R5" s="3">
        <v>372.5</v>
      </c>
      <c r="S5" s="3">
        <v>372.5</v>
      </c>
      <c r="T5" s="3">
        <v>420</v>
      </c>
      <c r="U5" s="3">
        <v>420</v>
      </c>
      <c r="V5" s="3">
        <v>420</v>
      </c>
      <c r="W5" s="3">
        <v>420</v>
      </c>
      <c r="X5" s="3">
        <v>420</v>
      </c>
      <c r="Y5" s="3">
        <v>420</v>
      </c>
      <c r="Z5" s="3">
        <v>420</v>
      </c>
      <c r="AA5" s="3">
        <v>420</v>
      </c>
      <c r="AB5" s="3">
        <v>420</v>
      </c>
      <c r="AC5" s="3">
        <v>420</v>
      </c>
      <c r="AD5" s="3">
        <v>420</v>
      </c>
      <c r="AE5" s="3">
        <v>420</v>
      </c>
      <c r="AF5" s="3">
        <v>420</v>
      </c>
      <c r="AG5" s="3">
        <v>420</v>
      </c>
      <c r="AH5" s="3">
        <v>420</v>
      </c>
      <c r="AI5" s="3">
        <v>420</v>
      </c>
      <c r="AJ5" s="3">
        <v>420</v>
      </c>
      <c r="AK5" s="3">
        <v>420</v>
      </c>
      <c r="AL5" s="3">
        <v>420</v>
      </c>
      <c r="AM5" s="3">
        <v>420</v>
      </c>
      <c r="AN5" s="3">
        <v>420</v>
      </c>
      <c r="AO5" s="3">
        <v>420</v>
      </c>
    </row>
    <row r="6" spans="1:41" x14ac:dyDescent="0.3">
      <c r="A6" s="110" t="s">
        <v>7</v>
      </c>
      <c r="B6" s="13">
        <v>4</v>
      </c>
      <c r="C6" s="6" t="s">
        <v>104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>
        <v>662.66</v>
      </c>
      <c r="R6" s="7">
        <v>651.03</v>
      </c>
      <c r="S6" s="7">
        <v>664.39800000000002</v>
      </c>
      <c r="T6" s="7">
        <v>688.07100000000003</v>
      </c>
      <c r="U6" s="7">
        <v>721.77800000000002</v>
      </c>
      <c r="V6" s="7">
        <v>734.54200000000003</v>
      </c>
      <c r="W6" s="7">
        <v>671.47699999999998</v>
      </c>
      <c r="X6" s="7">
        <v>696.53700000000003</v>
      </c>
      <c r="Y6" s="7">
        <v>832.85799999999995</v>
      </c>
      <c r="Z6" s="7">
        <v>1066.7270000000001</v>
      </c>
      <c r="AA6" s="7">
        <v>1377.181</v>
      </c>
      <c r="AB6" s="7">
        <v>1385.404</v>
      </c>
      <c r="AC6" s="7">
        <v>1445.4179999999999</v>
      </c>
      <c r="AD6" s="7">
        <v>1262.9570000000001</v>
      </c>
      <c r="AE6" s="7">
        <v>1440.1010000000001</v>
      </c>
      <c r="AF6" s="7">
        <v>1629.9269999999999</v>
      </c>
      <c r="AG6" s="7">
        <v>1709.2</v>
      </c>
      <c r="AH6" s="7">
        <v>1479.5</v>
      </c>
      <c r="AI6" s="7">
        <v>1220.5</v>
      </c>
      <c r="AJ6" s="7">
        <v>1094.3</v>
      </c>
      <c r="AK6" s="7">
        <v>966.7</v>
      </c>
      <c r="AL6" s="37">
        <v>1016.8</v>
      </c>
      <c r="AM6" s="7">
        <v>715.4</v>
      </c>
      <c r="AN6" s="7"/>
      <c r="AO6" s="1"/>
    </row>
    <row r="7" spans="1:41" x14ac:dyDescent="0.3">
      <c r="A7" s="110"/>
      <c r="B7" s="13">
        <v>5</v>
      </c>
      <c r="C7" s="1" t="s">
        <v>9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>
        <v>54.2</v>
      </c>
      <c r="R7" s="3">
        <v>38.08</v>
      </c>
      <c r="S7" s="3">
        <v>46.631</v>
      </c>
      <c r="T7" s="3">
        <v>73.417000000000002</v>
      </c>
      <c r="U7" s="3">
        <v>78.257000000000005</v>
      </c>
      <c r="V7" s="3">
        <v>105.877</v>
      </c>
      <c r="W7" s="3">
        <v>74.7</v>
      </c>
      <c r="X7" s="3">
        <v>91.662999999999997</v>
      </c>
      <c r="Y7" s="3">
        <v>118.36</v>
      </c>
      <c r="Z7" s="3">
        <v>112.994</v>
      </c>
      <c r="AA7" s="3">
        <v>186.024</v>
      </c>
      <c r="AB7" s="3">
        <v>209.14500000000001</v>
      </c>
      <c r="AC7" s="3">
        <v>142.90299999999999</v>
      </c>
      <c r="AD7" s="3">
        <v>113.04900000000001</v>
      </c>
      <c r="AE7" s="3">
        <v>203.99</v>
      </c>
      <c r="AF7" s="3">
        <v>176.90100000000001</v>
      </c>
      <c r="AG7" s="3">
        <v>272.77199999999999</v>
      </c>
      <c r="AH7" s="3">
        <v>201.16200000000001</v>
      </c>
      <c r="AI7" s="3">
        <v>260.28199999999998</v>
      </c>
      <c r="AJ7" s="3">
        <v>189.9</v>
      </c>
      <c r="AK7" s="3">
        <v>127.4</v>
      </c>
      <c r="AL7" s="3">
        <v>188.2</v>
      </c>
      <c r="AM7" s="3">
        <v>98.7</v>
      </c>
      <c r="AN7" s="3"/>
      <c r="AO7" s="1"/>
    </row>
    <row r="8" spans="1:41" x14ac:dyDescent="0.3">
      <c r="A8" s="110"/>
      <c r="B8" s="13">
        <v>6</v>
      </c>
      <c r="C8" s="6" t="s">
        <v>10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>
        <v>32.22</v>
      </c>
      <c r="R8" s="7">
        <v>16.36</v>
      </c>
      <c r="S8" s="7">
        <v>26.515999999999998</v>
      </c>
      <c r="T8" s="7">
        <v>48.433999999999997</v>
      </c>
      <c r="U8" s="7">
        <v>53.088999999999999</v>
      </c>
      <c r="V8" s="7">
        <v>79.861999999999995</v>
      </c>
      <c r="W8" s="3">
        <v>49.106000000000002</v>
      </c>
      <c r="X8" s="3">
        <v>60.228999999999999</v>
      </c>
      <c r="Y8" s="7">
        <v>87.369</v>
      </c>
      <c r="Z8" s="7">
        <v>69.906000000000006</v>
      </c>
      <c r="AA8" s="7">
        <v>131.09399999999999</v>
      </c>
      <c r="AB8" s="7">
        <v>153.84100000000001</v>
      </c>
      <c r="AC8" s="7">
        <v>83.878</v>
      </c>
      <c r="AD8" s="7">
        <v>51.35</v>
      </c>
      <c r="AE8" s="7">
        <v>143.24299999999999</v>
      </c>
      <c r="AF8" s="7">
        <v>114.045</v>
      </c>
      <c r="AG8" s="7">
        <v>197.23500000000001</v>
      </c>
      <c r="AH8" s="7">
        <v>124.90600000000001</v>
      </c>
      <c r="AI8" s="7">
        <v>190.82400000000001</v>
      </c>
      <c r="AJ8" s="7">
        <v>133.745</v>
      </c>
      <c r="AK8" s="7">
        <v>83.9</v>
      </c>
      <c r="AL8" s="7">
        <v>130.5</v>
      </c>
      <c r="AM8" s="7">
        <v>52.4</v>
      </c>
      <c r="AN8" s="7"/>
      <c r="AO8" s="1"/>
    </row>
    <row r="9" spans="1:41" x14ac:dyDescent="0.3">
      <c r="A9" s="110"/>
      <c r="B9" s="13">
        <v>11</v>
      </c>
      <c r="C9" s="1" t="s">
        <v>11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>
        <v>-7.1340000000000003</v>
      </c>
      <c r="R9" s="3">
        <v>11.367000000000001</v>
      </c>
      <c r="S9" s="3">
        <v>-2.9769999999999999</v>
      </c>
      <c r="T9" s="3">
        <v>-16.882000000000001</v>
      </c>
      <c r="U9" s="3">
        <v>-38.924999999999997</v>
      </c>
      <c r="V9" s="3">
        <v>-58.947000000000003</v>
      </c>
      <c r="W9" s="3">
        <v>12.423</v>
      </c>
      <c r="X9" s="3">
        <v>48.633000000000003</v>
      </c>
      <c r="Y9" s="3">
        <v>48.384</v>
      </c>
      <c r="Z9" s="3">
        <v>63.866999999999997</v>
      </c>
      <c r="AA9" s="3">
        <v>-595.43899999999996</v>
      </c>
      <c r="AB9" s="3">
        <v>-2.1800000000000002</v>
      </c>
      <c r="AC9" s="3">
        <v>-17.68</v>
      </c>
      <c r="AD9" s="3">
        <v>-244.58</v>
      </c>
      <c r="AE9" s="3">
        <v>-80.061000000000007</v>
      </c>
      <c r="AF9" s="3">
        <v>-101.246</v>
      </c>
      <c r="AG9" s="3">
        <v>-70.7</v>
      </c>
      <c r="AH9" s="3">
        <v>-52.1</v>
      </c>
      <c r="AI9" s="3">
        <v>-118.1</v>
      </c>
      <c r="AJ9" s="3">
        <v>-69</v>
      </c>
      <c r="AK9" s="3">
        <v>-70.2</v>
      </c>
      <c r="AL9" s="3">
        <v>7.1</v>
      </c>
      <c r="AM9" s="3">
        <v>27</v>
      </c>
      <c r="AN9" s="3"/>
      <c r="AO9" s="1"/>
    </row>
    <row r="10" spans="1:41" x14ac:dyDescent="0.3">
      <c r="A10" s="110"/>
      <c r="B10" s="13">
        <v>12</v>
      </c>
      <c r="C10" s="6" t="s">
        <v>12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>
        <v>29.3</v>
      </c>
      <c r="R10" s="7">
        <v>28.35</v>
      </c>
      <c r="S10" s="7">
        <v>36.6</v>
      </c>
      <c r="T10" s="7">
        <v>34.109000000000002</v>
      </c>
      <c r="U10" s="7">
        <v>26.335000000000001</v>
      </c>
      <c r="V10" s="7">
        <v>26.856000000000002</v>
      </c>
      <c r="W10" s="7">
        <v>61.529000000000003</v>
      </c>
      <c r="X10" s="7">
        <v>108.86199999999999</v>
      </c>
      <c r="Y10" s="7">
        <v>135.75299999999999</v>
      </c>
      <c r="Z10" s="7">
        <v>133.773</v>
      </c>
      <c r="AA10" s="7">
        <v>-464.34500000000003</v>
      </c>
      <c r="AB10" s="7">
        <v>151.661</v>
      </c>
      <c r="AC10" s="7">
        <v>66.197999999999993</v>
      </c>
      <c r="AD10" s="7">
        <v>-193.23</v>
      </c>
      <c r="AE10" s="7">
        <v>63.182000000000002</v>
      </c>
      <c r="AF10" s="7">
        <v>12.798999999999999</v>
      </c>
      <c r="AG10" s="7">
        <v>103.6</v>
      </c>
      <c r="AH10" s="7">
        <v>52.3</v>
      </c>
      <c r="AI10" s="7">
        <v>63.9</v>
      </c>
      <c r="AJ10" s="7">
        <v>31.3</v>
      </c>
      <c r="AK10" s="7">
        <v>29.2</v>
      </c>
      <c r="AL10" s="7">
        <v>44</v>
      </c>
      <c r="AM10" s="7">
        <v>13.2</v>
      </c>
      <c r="AN10" s="7"/>
      <c r="AO10" s="1"/>
    </row>
    <row r="11" spans="1:41" x14ac:dyDescent="0.3">
      <c r="A11" s="110"/>
      <c r="B11" s="13">
        <v>13</v>
      </c>
      <c r="C11" s="1" t="s">
        <v>13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>
        <v>8.69</v>
      </c>
      <c r="R11" s="3">
        <v>8.26</v>
      </c>
      <c r="S11" s="3">
        <v>2.734</v>
      </c>
      <c r="T11" s="3">
        <v>12.948</v>
      </c>
      <c r="U11" s="3">
        <v>10.138</v>
      </c>
      <c r="V11" s="3">
        <v>12.853999999999999</v>
      </c>
      <c r="W11" s="3">
        <v>1.2370000000000001</v>
      </c>
      <c r="X11" s="3">
        <v>0.33100000000000002</v>
      </c>
      <c r="Y11" s="3">
        <v>3.6469999999999998</v>
      </c>
      <c r="Z11" s="3">
        <v>6.1820000000000004</v>
      </c>
      <c r="AA11" s="3">
        <v>51.368000000000002</v>
      </c>
      <c r="AB11" s="3">
        <v>-36.686999999999998</v>
      </c>
      <c r="AC11" s="3">
        <v>26.82</v>
      </c>
      <c r="AD11" s="3">
        <v>24.207999999999998</v>
      </c>
      <c r="AE11" s="3">
        <v>-37.125</v>
      </c>
      <c r="AF11" s="3">
        <v>51.947000000000003</v>
      </c>
      <c r="AG11" s="3">
        <v>37.610999999999997</v>
      </c>
      <c r="AH11" s="3">
        <v>11.896000000000001</v>
      </c>
      <c r="AI11" s="3">
        <v>30.411000000000001</v>
      </c>
      <c r="AJ11" s="3">
        <v>34.533999999999999</v>
      </c>
      <c r="AK11" s="3">
        <v>19.7</v>
      </c>
      <c r="AL11" s="3">
        <v>27.3</v>
      </c>
      <c r="AM11" s="3">
        <v>10.199999999999999</v>
      </c>
      <c r="AN11" s="3"/>
      <c r="AO11" s="1"/>
    </row>
    <row r="12" spans="1:41" x14ac:dyDescent="0.3">
      <c r="A12" s="110"/>
      <c r="B12" s="13">
        <v>14</v>
      </c>
      <c r="C12" s="6" t="s">
        <v>105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>
        <v>19.28</v>
      </c>
      <c r="R12" s="7">
        <v>20.03</v>
      </c>
      <c r="S12" s="7">
        <v>27.937999999999999</v>
      </c>
      <c r="T12" s="7">
        <v>20.518000000000001</v>
      </c>
      <c r="U12" s="7">
        <v>21.021999999999998</v>
      </c>
      <c r="V12" s="7">
        <v>10.874000000000001</v>
      </c>
      <c r="W12" s="7">
        <v>61.354999999999997</v>
      </c>
      <c r="X12" s="7">
        <v>108.283</v>
      </c>
      <c r="Y12" s="7">
        <v>114.248</v>
      </c>
      <c r="Z12" s="7">
        <v>122.252</v>
      </c>
      <c r="AA12" s="7">
        <v>-347.24400000000003</v>
      </c>
      <c r="AB12" s="7">
        <v>116.629</v>
      </c>
      <c r="AC12" s="7">
        <v>46.392000000000003</v>
      </c>
      <c r="AD12" s="7">
        <v>-200.43700000000001</v>
      </c>
      <c r="AE12" s="7">
        <v>24.003</v>
      </c>
      <c r="AF12" s="7">
        <v>63.973999999999997</v>
      </c>
      <c r="AG12" s="7">
        <v>70.281000000000006</v>
      </c>
      <c r="AH12" s="7">
        <v>33.652999999999999</v>
      </c>
      <c r="AI12" s="7">
        <v>20.146999999999998</v>
      </c>
      <c r="AJ12" s="7">
        <v>-4.6500000000000004</v>
      </c>
      <c r="AK12" s="7">
        <v>11.1</v>
      </c>
      <c r="AL12" s="7">
        <v>14.4</v>
      </c>
      <c r="AM12" s="7">
        <v>3.6</v>
      </c>
      <c r="AN12" s="7"/>
      <c r="AO12" s="1"/>
    </row>
    <row r="13" spans="1:41" x14ac:dyDescent="0.3">
      <c r="A13" s="110"/>
      <c r="B13" s="13">
        <v>2</v>
      </c>
      <c r="C13" s="1" t="s">
        <v>15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22">
        <v>1.4999999999999999E-2</v>
      </c>
      <c r="R13" s="22">
        <v>0.02</v>
      </c>
      <c r="S13" s="22">
        <v>9.9760000000000005E-3</v>
      </c>
      <c r="T13" s="22">
        <v>0.01</v>
      </c>
      <c r="U13" s="22">
        <v>1.0500000000000001E-2</v>
      </c>
      <c r="V13" s="22">
        <v>1.4999999999999999E-2</v>
      </c>
      <c r="W13" s="22">
        <v>0.01</v>
      </c>
      <c r="X13" s="22">
        <v>1.1599999999999999E-2</v>
      </c>
      <c r="Y13" s="22">
        <v>1.4999999999999999E-2</v>
      </c>
      <c r="Z13" s="22">
        <v>1.7000000000000001E-2</v>
      </c>
      <c r="AA13" s="22">
        <v>1.7999999999999999E-2</v>
      </c>
      <c r="AB13" s="22">
        <v>0</v>
      </c>
      <c r="AC13" s="22">
        <v>9.7000000000000003E-3</v>
      </c>
      <c r="AD13" s="22">
        <v>1.4999999999999999E-2</v>
      </c>
      <c r="AE13" s="22">
        <v>0</v>
      </c>
      <c r="AF13" s="22">
        <v>1.4999999999999999E-2</v>
      </c>
      <c r="AG13" s="22">
        <v>1.4999999999999999E-2</v>
      </c>
      <c r="AH13" s="22">
        <v>1.35E-2</v>
      </c>
      <c r="AI13" s="22">
        <v>4.0000000000000001E-3</v>
      </c>
      <c r="AJ13" s="22">
        <v>2E-3</v>
      </c>
      <c r="AK13" s="22">
        <v>3.0000000000000001E-3</v>
      </c>
      <c r="AL13" s="22">
        <v>0</v>
      </c>
      <c r="AM13" s="22">
        <v>0</v>
      </c>
      <c r="AN13" s="22">
        <v>0</v>
      </c>
      <c r="AO13" s="22">
        <v>0</v>
      </c>
    </row>
    <row r="14" spans="1:41" x14ac:dyDescent="0.3">
      <c r="A14" s="111" t="s">
        <v>14</v>
      </c>
      <c r="B14" s="14">
        <v>8</v>
      </c>
      <c r="C14" s="6" t="s">
        <v>16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>
        <v>52.02</v>
      </c>
      <c r="R14" s="7">
        <v>25.09</v>
      </c>
      <c r="S14" s="7">
        <v>52.118000000000002</v>
      </c>
      <c r="T14" s="7">
        <v>51.390999999999998</v>
      </c>
      <c r="U14" s="7">
        <v>39.936</v>
      </c>
      <c r="V14" s="7">
        <v>52.103000000000002</v>
      </c>
      <c r="W14" s="7">
        <v>59.033999999999999</v>
      </c>
      <c r="X14" s="7">
        <v>76.153000000000006</v>
      </c>
      <c r="Y14" s="7">
        <v>102.714</v>
      </c>
      <c r="Z14" s="7">
        <v>114.628</v>
      </c>
      <c r="AA14" s="7">
        <v>105.47799999999999</v>
      </c>
      <c r="AB14" s="7">
        <v>132.05099999999999</v>
      </c>
      <c r="AC14" s="7">
        <v>137.83699999999999</v>
      </c>
      <c r="AD14" s="7">
        <v>291.69299999999998</v>
      </c>
      <c r="AE14" s="7">
        <v>246.06299999999999</v>
      </c>
      <c r="AF14" s="7">
        <v>186.441</v>
      </c>
      <c r="AG14" s="7">
        <v>195.4</v>
      </c>
      <c r="AH14" s="7">
        <v>252.7</v>
      </c>
      <c r="AI14" s="7">
        <v>180.9</v>
      </c>
      <c r="AJ14" s="7">
        <v>154.30000000000001</v>
      </c>
      <c r="AK14" s="7">
        <v>186.7</v>
      </c>
      <c r="AL14" s="7">
        <v>135.4</v>
      </c>
      <c r="AM14" s="7">
        <v>116.2</v>
      </c>
      <c r="AN14" s="7">
        <v>110.1</v>
      </c>
      <c r="AO14" s="1"/>
    </row>
    <row r="15" spans="1:41" x14ac:dyDescent="0.3">
      <c r="A15" s="112"/>
      <c r="B15" s="14">
        <v>7</v>
      </c>
      <c r="C15" s="1" t="s">
        <v>17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>
        <v>312.02</v>
      </c>
      <c r="R15" s="3">
        <v>383.08</v>
      </c>
      <c r="S15" s="3">
        <v>459.8</v>
      </c>
      <c r="T15" s="3">
        <v>1102.44</v>
      </c>
      <c r="U15" s="3">
        <v>1099.2470000000001</v>
      </c>
      <c r="V15" s="3">
        <v>1150.92</v>
      </c>
      <c r="W15" s="3">
        <v>1228.8119999999999</v>
      </c>
      <c r="X15" s="3">
        <v>1385.7260000000001</v>
      </c>
      <c r="Y15" s="3">
        <v>1419.606</v>
      </c>
      <c r="Z15" s="3">
        <v>1792.4459999999999</v>
      </c>
      <c r="AA15" s="3">
        <v>1957.38</v>
      </c>
      <c r="AB15" s="3">
        <v>2124.7919999999999</v>
      </c>
      <c r="AC15" s="3">
        <v>1204.626</v>
      </c>
      <c r="AD15" s="3">
        <v>1218.566</v>
      </c>
      <c r="AE15" s="3">
        <v>1235.9649999999999</v>
      </c>
      <c r="AF15" s="3">
        <v>1362.606</v>
      </c>
      <c r="AG15" s="3">
        <v>1676.4</v>
      </c>
      <c r="AH15" s="3">
        <v>1574.9</v>
      </c>
      <c r="AI15" s="3">
        <v>1489.1</v>
      </c>
      <c r="AJ15" s="3">
        <v>1016.9</v>
      </c>
      <c r="AK15" s="3">
        <v>860.9</v>
      </c>
      <c r="AL15" s="3">
        <v>853.4</v>
      </c>
      <c r="AM15" s="3">
        <v>809.7</v>
      </c>
      <c r="AN15" s="3">
        <v>816</v>
      </c>
      <c r="AO15" s="1"/>
    </row>
    <row r="16" spans="1:41" x14ac:dyDescent="0.3">
      <c r="A16" s="112"/>
      <c r="B16" s="14">
        <v>9</v>
      </c>
      <c r="C16" s="6" t="s">
        <v>92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>
        <v>28</v>
      </c>
      <c r="R16" s="7">
        <v>17.172000000000001</v>
      </c>
      <c r="S16" s="7">
        <v>16.236000000000001</v>
      </c>
      <c r="T16" s="7">
        <v>21.09</v>
      </c>
      <c r="U16" s="7">
        <v>21.808</v>
      </c>
      <c r="V16" s="7">
        <v>23.326000000000001</v>
      </c>
      <c r="W16" s="7">
        <v>21.811</v>
      </c>
      <c r="X16" s="7">
        <v>25.23</v>
      </c>
      <c r="Y16" s="7">
        <v>150.25899999999999</v>
      </c>
      <c r="Z16" s="7">
        <v>168.76900000000001</v>
      </c>
      <c r="AA16" s="7">
        <v>95.905000000000001</v>
      </c>
      <c r="AB16" s="7">
        <v>94.647999999999996</v>
      </c>
      <c r="AC16" s="7">
        <v>88.483999999999995</v>
      </c>
      <c r="AD16" s="7">
        <v>76.578999999999994</v>
      </c>
      <c r="AE16" s="7">
        <v>73.863</v>
      </c>
      <c r="AF16" s="7">
        <v>35.320999999999998</v>
      </c>
      <c r="AG16" s="7">
        <v>27.058</v>
      </c>
      <c r="AH16" s="7">
        <v>50.29</v>
      </c>
      <c r="AI16" s="7">
        <v>49.040999999999997</v>
      </c>
      <c r="AJ16" s="7">
        <v>41.226999999999997</v>
      </c>
      <c r="AK16" s="7">
        <v>35.700000000000003</v>
      </c>
      <c r="AL16" s="7">
        <v>36.6</v>
      </c>
      <c r="AM16" s="7">
        <v>28.7</v>
      </c>
      <c r="AN16" s="7">
        <v>24.8</v>
      </c>
      <c r="AO16" s="1"/>
    </row>
    <row r="17" spans="1:41" x14ac:dyDescent="0.3">
      <c r="A17" s="112"/>
      <c r="B17" s="14">
        <v>10</v>
      </c>
      <c r="C17" s="1" t="s">
        <v>18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1"/>
    </row>
    <row r="18" spans="1:41" x14ac:dyDescent="0.3">
      <c r="A18" s="112"/>
      <c r="B18" s="14">
        <v>15</v>
      </c>
      <c r="C18" s="6" t="s">
        <v>19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>
        <v>682.8</v>
      </c>
      <c r="R18" s="7">
        <v>980.8</v>
      </c>
      <c r="S18" s="7">
        <v>773.96699999999998</v>
      </c>
      <c r="T18" s="7">
        <v>1490.953</v>
      </c>
      <c r="U18" s="7">
        <v>1471.3679999999999</v>
      </c>
      <c r="V18" s="7">
        <v>1564.59</v>
      </c>
      <c r="W18" s="7">
        <v>1616.5450000000001</v>
      </c>
      <c r="X18" s="7">
        <v>1851.384</v>
      </c>
      <c r="Y18" s="7">
        <v>1951.18</v>
      </c>
      <c r="Z18" s="7">
        <v>2388.125</v>
      </c>
      <c r="AA18" s="7">
        <v>2839.105</v>
      </c>
      <c r="AB18" s="7">
        <v>3000.9369999999999</v>
      </c>
      <c r="AC18" s="7">
        <v>2159.2460000000001</v>
      </c>
      <c r="AD18" s="7">
        <v>1234.0809999999999</v>
      </c>
      <c r="AE18" s="7">
        <v>2441.6179999999999</v>
      </c>
      <c r="AF18" s="7">
        <v>2422.8679999999999</v>
      </c>
      <c r="AG18" s="7">
        <v>2496.3000000000002</v>
      </c>
      <c r="AH18" s="7">
        <v>2393.9</v>
      </c>
      <c r="AI18" s="7">
        <v>2144.1999999999998</v>
      </c>
      <c r="AJ18" s="7">
        <v>1926.8</v>
      </c>
      <c r="AK18" s="7">
        <v>1490.1</v>
      </c>
      <c r="AL18" s="7">
        <v>1550.1</v>
      </c>
      <c r="AM18" s="7">
        <v>1390.1</v>
      </c>
      <c r="AN18" s="7">
        <v>1442.7</v>
      </c>
      <c r="AO18" s="1"/>
    </row>
    <row r="19" spans="1:41" x14ac:dyDescent="0.3">
      <c r="A19" s="112"/>
      <c r="B19" s="14">
        <v>18</v>
      </c>
      <c r="C19" s="1" t="s">
        <v>21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>
        <v>498.57</v>
      </c>
      <c r="R19" s="3">
        <v>535.37</v>
      </c>
      <c r="S19" s="3">
        <v>562.09900000000005</v>
      </c>
      <c r="T19" s="3">
        <v>435.976</v>
      </c>
      <c r="U19" s="3">
        <v>398.93700000000001</v>
      </c>
      <c r="V19" s="3">
        <v>507.87599999999998</v>
      </c>
      <c r="W19" s="3">
        <v>572.35299999999995</v>
      </c>
      <c r="X19" s="3">
        <v>641.42100000000005</v>
      </c>
      <c r="Y19" s="3">
        <v>666.56700000000001</v>
      </c>
      <c r="Z19" s="3">
        <v>720.84699999999998</v>
      </c>
      <c r="AA19" s="3">
        <v>1037.029</v>
      </c>
      <c r="AB19" s="3">
        <v>1142.5740000000001</v>
      </c>
      <c r="AC19" s="3">
        <v>1059.529</v>
      </c>
      <c r="AD19" s="3">
        <v>1234.0809999999999</v>
      </c>
      <c r="AE19" s="3">
        <v>1551.893</v>
      </c>
      <c r="AF19" s="3">
        <v>1336.9870000000001</v>
      </c>
      <c r="AG19" s="3">
        <v>1307.739</v>
      </c>
      <c r="AH19" s="3">
        <v>1339.835</v>
      </c>
      <c r="AI19" s="3">
        <v>1093.326</v>
      </c>
      <c r="AJ19" s="3">
        <v>1069.029</v>
      </c>
      <c r="AK19" s="3">
        <v>500.2</v>
      </c>
      <c r="AL19" s="3">
        <v>549.79999999999995</v>
      </c>
      <c r="AM19" s="3">
        <v>447.1</v>
      </c>
      <c r="AN19" s="3">
        <v>570.6</v>
      </c>
      <c r="AO19" s="1"/>
    </row>
    <row r="20" spans="1:41" x14ac:dyDescent="0.3">
      <c r="A20" s="112"/>
      <c r="B20" s="14">
        <v>17</v>
      </c>
      <c r="C20" s="6" t="s">
        <v>22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>
        <v>491.58</v>
      </c>
      <c r="R20" s="7">
        <v>493.78800000000001</v>
      </c>
      <c r="S20" s="7">
        <v>514.73900000000003</v>
      </c>
      <c r="T20" s="7">
        <v>550.35699999999997</v>
      </c>
      <c r="U20" s="7">
        <v>432.46499999999997</v>
      </c>
      <c r="V20" s="7">
        <v>339.22336000000001</v>
      </c>
      <c r="W20" s="7">
        <v>485.52499999999998</v>
      </c>
      <c r="X20" s="7">
        <v>557.46900000000005</v>
      </c>
      <c r="Y20" s="7">
        <v>697.80499999999995</v>
      </c>
      <c r="Z20" s="7">
        <v>775.00400000000002</v>
      </c>
      <c r="AA20" s="7">
        <v>893.09</v>
      </c>
      <c r="AB20" s="7">
        <v>1007.622</v>
      </c>
      <c r="AC20" s="7">
        <v>1097.3240000000001</v>
      </c>
      <c r="AD20" s="7">
        <v>1330.867</v>
      </c>
      <c r="AE20" s="7">
        <v>1392.829</v>
      </c>
      <c r="AF20" s="7">
        <v>1288.6610000000001</v>
      </c>
      <c r="AG20" s="7">
        <v>1396.943</v>
      </c>
      <c r="AH20" s="7">
        <v>1315.3330000000001</v>
      </c>
      <c r="AI20" s="7">
        <v>1121.9449999999999</v>
      </c>
      <c r="AJ20" s="7">
        <v>1319.3330000000001</v>
      </c>
      <c r="AK20" s="7">
        <v>811.8</v>
      </c>
      <c r="AL20" s="7">
        <v>829.6</v>
      </c>
      <c r="AM20" s="7">
        <v>661.9</v>
      </c>
      <c r="AN20" s="7">
        <v>670.8</v>
      </c>
      <c r="AO20" s="1"/>
    </row>
    <row r="21" spans="1:41" x14ac:dyDescent="0.3">
      <c r="A21" s="112"/>
      <c r="B21" s="14">
        <v>19</v>
      </c>
      <c r="C21" s="1" t="s">
        <v>88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>
        <v>99.31</v>
      </c>
      <c r="R21" s="3">
        <v>86.87</v>
      </c>
      <c r="S21" s="3">
        <v>76.62</v>
      </c>
      <c r="T21" s="3">
        <v>144.602</v>
      </c>
      <c r="U21" s="3">
        <v>89.117000000000004</v>
      </c>
      <c r="V21" s="3">
        <v>211.36199999999999</v>
      </c>
      <c r="W21" s="3">
        <v>147.58699999999999</v>
      </c>
      <c r="X21" s="3">
        <v>177.05699999999999</v>
      </c>
      <c r="Y21" s="3">
        <v>222.494</v>
      </c>
      <c r="Z21" s="3">
        <v>288.07</v>
      </c>
      <c r="AA21" s="3">
        <v>365.71699999999998</v>
      </c>
      <c r="AB21" s="3">
        <v>391.77800000000002</v>
      </c>
      <c r="AC21" s="3">
        <v>298.54300000000001</v>
      </c>
      <c r="AD21" s="3">
        <v>308.58199999999999</v>
      </c>
      <c r="AE21" s="3">
        <v>313.57499999999999</v>
      </c>
      <c r="AF21" s="3">
        <v>289.89400000000001</v>
      </c>
      <c r="AG21" s="3">
        <v>355.87099999999998</v>
      </c>
      <c r="AH21" s="3">
        <v>274.01799999999997</v>
      </c>
      <c r="AI21" s="3">
        <v>251.44200000000001</v>
      </c>
      <c r="AJ21" s="3">
        <v>241.05699999999999</v>
      </c>
      <c r="AK21" s="3">
        <v>192.6</v>
      </c>
      <c r="AL21" s="3">
        <v>202.1</v>
      </c>
      <c r="AM21" s="3">
        <v>171.4</v>
      </c>
      <c r="AN21" s="3">
        <v>177.1</v>
      </c>
      <c r="AO21" s="1"/>
    </row>
    <row r="22" spans="1:41" x14ac:dyDescent="0.3">
      <c r="A22" s="112"/>
      <c r="B22" s="14">
        <v>20</v>
      </c>
      <c r="C22" s="6" t="s">
        <v>87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>
        <v>254.94</v>
      </c>
      <c r="R22" s="7">
        <v>287.61</v>
      </c>
      <c r="S22" s="7">
        <v>334.42200000000003</v>
      </c>
      <c r="T22" s="7">
        <v>275.58600000000001</v>
      </c>
      <c r="U22" s="7">
        <v>222.148</v>
      </c>
      <c r="V22" s="7">
        <v>212.80799999999999</v>
      </c>
      <c r="W22" s="7">
        <v>207.82</v>
      </c>
      <c r="X22" s="7">
        <v>241.999</v>
      </c>
      <c r="Y22" s="7">
        <v>290.351</v>
      </c>
      <c r="Z22" s="7">
        <v>251.06</v>
      </c>
      <c r="AA22" s="7">
        <v>270.73399999999998</v>
      </c>
      <c r="AB22" s="7">
        <v>323.92599999999999</v>
      </c>
      <c r="AC22" s="7">
        <v>437.608</v>
      </c>
      <c r="AD22" s="7">
        <v>455.55</v>
      </c>
      <c r="AE22" s="7">
        <v>476.851</v>
      </c>
      <c r="AF22" s="7">
        <v>492.30500000000001</v>
      </c>
      <c r="AG22" s="7">
        <v>524.6</v>
      </c>
      <c r="AH22" s="7">
        <v>489.5</v>
      </c>
      <c r="AI22" s="7">
        <v>473.1</v>
      </c>
      <c r="AJ22" s="7">
        <v>309.8</v>
      </c>
      <c r="AK22" s="7">
        <v>208.3</v>
      </c>
      <c r="AL22" s="7">
        <v>274.7</v>
      </c>
      <c r="AM22" s="7">
        <v>151.6</v>
      </c>
      <c r="AN22" s="7">
        <v>133.9</v>
      </c>
      <c r="AO22" s="1"/>
    </row>
    <row r="23" spans="1:41" x14ac:dyDescent="0.3">
      <c r="A23" s="112"/>
      <c r="B23" s="14">
        <v>16</v>
      </c>
      <c r="C23" s="1" t="s">
        <v>20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>
        <v>223.565</v>
      </c>
      <c r="R23" s="3">
        <v>252</v>
      </c>
      <c r="S23" s="3">
        <v>282.15800000000002</v>
      </c>
      <c r="T23" s="3">
        <v>277.20100000000002</v>
      </c>
      <c r="U23" s="3">
        <v>255.267</v>
      </c>
      <c r="V23" s="3">
        <v>238.161</v>
      </c>
      <c r="W23" s="3">
        <v>366.87400000000002</v>
      </c>
      <c r="X23" s="3">
        <v>544.13199999999995</v>
      </c>
      <c r="Y23" s="3">
        <v>782.80600000000004</v>
      </c>
      <c r="Z23" s="3">
        <v>834.38499999999999</v>
      </c>
      <c r="AA23" s="3">
        <v>338.93200000000002</v>
      </c>
      <c r="AB23" s="3">
        <v>511.58199999999999</v>
      </c>
      <c r="AC23" s="3">
        <v>562.00599999999997</v>
      </c>
      <c r="AD23" s="3">
        <v>332.65100000000001</v>
      </c>
      <c r="AE23" s="3">
        <v>325.86799999999999</v>
      </c>
      <c r="AF23" s="3">
        <v>360.72800000000001</v>
      </c>
      <c r="AG23" s="3">
        <v>457.7</v>
      </c>
      <c r="AH23" s="3">
        <v>467.9</v>
      </c>
      <c r="AI23" s="3">
        <v>395.8</v>
      </c>
      <c r="AJ23" s="3">
        <v>367.6</v>
      </c>
      <c r="AK23" s="3">
        <v>367.6</v>
      </c>
      <c r="AL23" s="3">
        <v>299.89999999999998</v>
      </c>
      <c r="AM23" s="3">
        <v>209.6</v>
      </c>
      <c r="AN23" s="3">
        <v>210.2</v>
      </c>
      <c r="AO23" s="1"/>
    </row>
    <row r="25" spans="1:41" x14ac:dyDescent="0.3">
      <c r="A25" s="9" t="s">
        <v>71</v>
      </c>
      <c r="B25" s="8"/>
      <c r="C25" s="9" t="s">
        <v>26</v>
      </c>
      <c r="D25" s="8">
        <v>85</v>
      </c>
      <c r="E25" s="8">
        <v>86</v>
      </c>
      <c r="F25" s="8">
        <v>87</v>
      </c>
      <c r="G25" s="8">
        <v>88</v>
      </c>
      <c r="H25" s="8">
        <v>89</v>
      </c>
      <c r="I25" s="8">
        <v>90</v>
      </c>
      <c r="J25" s="8">
        <v>91</v>
      </c>
      <c r="K25" s="8">
        <v>92</v>
      </c>
      <c r="L25" s="8">
        <v>93</v>
      </c>
      <c r="M25" s="8">
        <v>94</v>
      </c>
      <c r="N25" s="8">
        <v>95</v>
      </c>
      <c r="O25" s="8">
        <v>96</v>
      </c>
      <c r="P25" s="8">
        <v>97</v>
      </c>
      <c r="Q25" s="8">
        <v>98</v>
      </c>
      <c r="R25" s="8">
        <v>99</v>
      </c>
      <c r="S25" s="8">
        <v>2000</v>
      </c>
      <c r="T25" s="8">
        <v>1</v>
      </c>
      <c r="U25" s="8">
        <v>2</v>
      </c>
      <c r="V25" s="8">
        <v>3</v>
      </c>
      <c r="W25" s="8">
        <v>4</v>
      </c>
      <c r="X25" s="8">
        <v>5</v>
      </c>
      <c r="Y25" s="8">
        <v>6</v>
      </c>
      <c r="Z25" s="8">
        <v>7</v>
      </c>
      <c r="AA25" s="8">
        <v>8</v>
      </c>
      <c r="AB25" s="8">
        <v>9</v>
      </c>
      <c r="AC25" s="8">
        <v>10</v>
      </c>
      <c r="AD25" s="8">
        <v>11</v>
      </c>
      <c r="AE25" s="8">
        <v>12</v>
      </c>
      <c r="AF25" s="8">
        <v>13</v>
      </c>
      <c r="AG25" s="8">
        <v>14</v>
      </c>
      <c r="AH25" s="8">
        <v>15</v>
      </c>
      <c r="AI25" s="8">
        <v>16</v>
      </c>
      <c r="AJ25" s="8">
        <v>17</v>
      </c>
      <c r="AK25" s="8">
        <v>18</v>
      </c>
      <c r="AL25" s="8">
        <v>19</v>
      </c>
      <c r="AM25" s="8">
        <v>20</v>
      </c>
      <c r="AN25" s="8" t="s">
        <v>3</v>
      </c>
      <c r="AO25" s="8" t="s">
        <v>94</v>
      </c>
    </row>
    <row r="26" spans="1:41" x14ac:dyDescent="0.3">
      <c r="A26" s="6" t="s">
        <v>65</v>
      </c>
      <c r="B26" s="17" t="s">
        <v>27</v>
      </c>
      <c r="C26" s="6" t="s">
        <v>85</v>
      </c>
      <c r="D26" s="7">
        <f>D4*D5</f>
        <v>0</v>
      </c>
      <c r="E26" s="7">
        <f t="shared" ref="E26:AO26" si="0">E4*E5</f>
        <v>0</v>
      </c>
      <c r="F26" s="7">
        <f t="shared" si="0"/>
        <v>0</v>
      </c>
      <c r="G26" s="7">
        <f t="shared" si="0"/>
        <v>0</v>
      </c>
      <c r="H26" s="7">
        <f t="shared" si="0"/>
        <v>0</v>
      </c>
      <c r="I26" s="7">
        <f t="shared" si="0"/>
        <v>0</v>
      </c>
      <c r="J26" s="7">
        <f t="shared" si="0"/>
        <v>0</v>
      </c>
      <c r="K26" s="7">
        <f t="shared" si="0"/>
        <v>0</v>
      </c>
      <c r="L26" s="7">
        <f t="shared" si="0"/>
        <v>0</v>
      </c>
      <c r="M26" s="7">
        <f t="shared" si="0"/>
        <v>0</v>
      </c>
      <c r="N26" s="7">
        <f t="shared" si="0"/>
        <v>0</v>
      </c>
      <c r="O26" s="7">
        <f t="shared" si="0"/>
        <v>0</v>
      </c>
      <c r="P26" s="7">
        <f t="shared" si="0"/>
        <v>0</v>
      </c>
      <c r="Q26" s="7">
        <f t="shared" si="0"/>
        <v>402.65476190476187</v>
      </c>
      <c r="R26" s="7">
        <f t="shared" si="0"/>
        <v>379.59523809523807</v>
      </c>
      <c r="S26" s="7">
        <f t="shared" si="0"/>
        <v>435.47023809523813</v>
      </c>
      <c r="T26" s="7">
        <f t="shared" si="0"/>
        <v>504</v>
      </c>
      <c r="U26" s="7">
        <f t="shared" si="0"/>
        <v>273</v>
      </c>
      <c r="V26" s="7">
        <f t="shared" si="0"/>
        <v>315</v>
      </c>
      <c r="W26" s="7">
        <f t="shared" si="0"/>
        <v>424</v>
      </c>
      <c r="X26" s="7">
        <f t="shared" si="0"/>
        <v>559</v>
      </c>
      <c r="Y26" s="7">
        <f t="shared" si="0"/>
        <v>836</v>
      </c>
      <c r="Z26" s="7">
        <f t="shared" si="0"/>
        <v>1777</v>
      </c>
      <c r="AA26" s="7">
        <f t="shared" si="0"/>
        <v>252</v>
      </c>
      <c r="AB26" s="7">
        <f t="shared" si="0"/>
        <v>403.2</v>
      </c>
      <c r="AC26" s="7">
        <f t="shared" si="0"/>
        <v>306.59999999999997</v>
      </c>
      <c r="AD26" s="7">
        <f t="shared" si="0"/>
        <v>88.2</v>
      </c>
      <c r="AE26" s="7">
        <f t="shared" si="0"/>
        <v>134.4</v>
      </c>
      <c r="AF26" s="7">
        <f t="shared" si="0"/>
        <v>373.8</v>
      </c>
      <c r="AG26" s="7">
        <f t="shared" si="0"/>
        <v>298.62</v>
      </c>
      <c r="AH26" s="7">
        <f t="shared" si="0"/>
        <v>131.88</v>
      </c>
      <c r="AI26" s="7">
        <f t="shared" si="0"/>
        <v>78.12</v>
      </c>
      <c r="AJ26" s="7">
        <f t="shared" si="0"/>
        <v>93.66</v>
      </c>
      <c r="AK26" s="7">
        <f t="shared" si="0"/>
        <v>56.7</v>
      </c>
      <c r="AL26" s="7">
        <f t="shared" si="0"/>
        <v>64.679999999999993</v>
      </c>
      <c r="AM26" s="7">
        <f t="shared" si="0"/>
        <v>37.967999999999996</v>
      </c>
      <c r="AN26" s="7">
        <f t="shared" si="0"/>
        <v>39.564</v>
      </c>
      <c r="AO26" s="7">
        <f t="shared" si="0"/>
        <v>42.42</v>
      </c>
    </row>
    <row r="27" spans="1:41" x14ac:dyDescent="0.3">
      <c r="A27" s="1" t="s">
        <v>66</v>
      </c>
      <c r="B27" s="2" t="s">
        <v>28</v>
      </c>
      <c r="C27" s="1" t="s">
        <v>47</v>
      </c>
      <c r="D27" s="30" t="e">
        <f>D26/D6</f>
        <v>#DIV/0!</v>
      </c>
      <c r="E27" s="30" t="e">
        <f t="shared" ref="E27:AH27" si="1">E26/E6</f>
        <v>#DIV/0!</v>
      </c>
      <c r="F27" s="30" t="e">
        <f t="shared" si="1"/>
        <v>#DIV/0!</v>
      </c>
      <c r="G27" s="30" t="e">
        <f t="shared" si="1"/>
        <v>#DIV/0!</v>
      </c>
      <c r="H27" s="30" t="e">
        <f t="shared" si="1"/>
        <v>#DIV/0!</v>
      </c>
      <c r="I27" s="30" t="e">
        <f t="shared" si="1"/>
        <v>#DIV/0!</v>
      </c>
      <c r="J27" s="30" t="e">
        <f t="shared" si="1"/>
        <v>#DIV/0!</v>
      </c>
      <c r="K27" s="30" t="e">
        <f t="shared" si="1"/>
        <v>#DIV/0!</v>
      </c>
      <c r="L27" s="30" t="e">
        <f t="shared" si="1"/>
        <v>#DIV/0!</v>
      </c>
      <c r="M27" s="30" t="e">
        <f t="shared" si="1"/>
        <v>#DIV/0!</v>
      </c>
      <c r="N27" s="30" t="e">
        <f t="shared" si="1"/>
        <v>#DIV/0!</v>
      </c>
      <c r="O27" s="30" t="e">
        <f t="shared" si="1"/>
        <v>#DIV/0!</v>
      </c>
      <c r="P27" s="30" t="e">
        <f t="shared" si="1"/>
        <v>#DIV/0!</v>
      </c>
      <c r="Q27" s="30">
        <f t="shared" si="1"/>
        <v>0.60763402333740058</v>
      </c>
      <c r="R27" s="30">
        <f t="shared" si="1"/>
        <v>0.58306873430600448</v>
      </c>
      <c r="S27" s="30">
        <f t="shared" si="1"/>
        <v>0.65543580518791167</v>
      </c>
      <c r="T27" s="30">
        <f t="shared" si="1"/>
        <v>0.73248254903927068</v>
      </c>
      <c r="U27" s="30">
        <f t="shared" si="1"/>
        <v>0.378232642169753</v>
      </c>
      <c r="V27" s="30">
        <f t="shared" si="1"/>
        <v>0.42883865047880176</v>
      </c>
      <c r="W27" s="30">
        <f t="shared" si="1"/>
        <v>0.6314438171374448</v>
      </c>
      <c r="X27" s="30">
        <f t="shared" si="1"/>
        <v>0.80254171709471278</v>
      </c>
      <c r="Y27" s="30">
        <f t="shared" si="1"/>
        <v>1.0037725518635832</v>
      </c>
      <c r="Z27" s="30">
        <f t="shared" si="1"/>
        <v>1.6658432757397159</v>
      </c>
      <c r="AA27" s="30">
        <f t="shared" si="1"/>
        <v>0.1829824837839035</v>
      </c>
      <c r="AB27" s="30">
        <f t="shared" si="1"/>
        <v>0.2910342398318469</v>
      </c>
      <c r="AC27" s="30">
        <f t="shared" si="1"/>
        <v>0.21211857054499114</v>
      </c>
      <c r="AD27" s="30">
        <f t="shared" si="1"/>
        <v>6.9836106850827057E-2</v>
      </c>
      <c r="AE27" s="30">
        <f t="shared" si="1"/>
        <v>9.3326787496154778E-2</v>
      </c>
      <c r="AF27" s="30">
        <f t="shared" si="1"/>
        <v>0.2293354242245205</v>
      </c>
      <c r="AG27" s="30">
        <f t="shared" si="1"/>
        <v>0.17471331617130822</v>
      </c>
      <c r="AH27" s="30">
        <f t="shared" si="1"/>
        <v>8.9138222372423109E-2</v>
      </c>
      <c r="AI27" s="30">
        <f>AI26/AH6</f>
        <v>5.280162216965191E-2</v>
      </c>
      <c r="AJ27" s="30">
        <f>AJ26/AI6</f>
        <v>7.6739041376485045E-2</v>
      </c>
      <c r="AK27" s="30">
        <f>AK26/AJ6</f>
        <v>5.1813944987663355E-2</v>
      </c>
      <c r="AL27" s="30">
        <f>AL26/AK6</f>
        <v>6.6908037653874E-2</v>
      </c>
      <c r="AM27" s="30">
        <f>AM26/AL6</f>
        <v>3.7340676632572775E-2</v>
      </c>
      <c r="AN27" s="30"/>
      <c r="AO27" s="1"/>
    </row>
    <row r="28" spans="1:41" x14ac:dyDescent="0.3">
      <c r="A28" s="6" t="s">
        <v>67</v>
      </c>
      <c r="B28" s="17" t="s">
        <v>29</v>
      </c>
      <c r="C28" s="6" t="s">
        <v>48</v>
      </c>
      <c r="D28" s="29" t="e">
        <f>D26/D7</f>
        <v>#DIV/0!</v>
      </c>
      <c r="E28" s="29" t="e">
        <f t="shared" ref="E28:AL28" si="2">E26/E7</f>
        <v>#DIV/0!</v>
      </c>
      <c r="F28" s="29" t="e">
        <f t="shared" si="2"/>
        <v>#DIV/0!</v>
      </c>
      <c r="G28" s="29" t="e">
        <f t="shared" si="2"/>
        <v>#DIV/0!</v>
      </c>
      <c r="H28" s="29" t="e">
        <f t="shared" si="2"/>
        <v>#DIV/0!</v>
      </c>
      <c r="I28" s="29" t="e">
        <f t="shared" si="2"/>
        <v>#DIV/0!</v>
      </c>
      <c r="J28" s="29" t="e">
        <f t="shared" si="2"/>
        <v>#DIV/0!</v>
      </c>
      <c r="K28" s="29" t="e">
        <f t="shared" si="2"/>
        <v>#DIV/0!</v>
      </c>
      <c r="L28" s="29" t="e">
        <f t="shared" si="2"/>
        <v>#DIV/0!</v>
      </c>
      <c r="M28" s="29" t="e">
        <f t="shared" si="2"/>
        <v>#DIV/0!</v>
      </c>
      <c r="N28" s="29" t="e">
        <f t="shared" si="2"/>
        <v>#DIV/0!</v>
      </c>
      <c r="O28" s="29" t="e">
        <f t="shared" si="2"/>
        <v>#DIV/0!</v>
      </c>
      <c r="P28" s="29" t="e">
        <f t="shared" si="2"/>
        <v>#DIV/0!</v>
      </c>
      <c r="Q28" s="29">
        <f t="shared" si="2"/>
        <v>7.4290546476893331</v>
      </c>
      <c r="R28" s="29">
        <f t="shared" si="2"/>
        <v>9.9683623449379759</v>
      </c>
      <c r="S28" s="29">
        <f t="shared" si="2"/>
        <v>9.3386424930891074</v>
      </c>
      <c r="T28" s="29">
        <f t="shared" si="2"/>
        <v>6.8648950515548171</v>
      </c>
      <c r="U28" s="29">
        <f t="shared" si="2"/>
        <v>3.4885058205655723</v>
      </c>
      <c r="V28" s="29">
        <f t="shared" si="2"/>
        <v>2.9751504103818585</v>
      </c>
      <c r="W28" s="29">
        <f t="shared" si="2"/>
        <v>5.6760374832663985</v>
      </c>
      <c r="X28" s="29">
        <f t="shared" si="2"/>
        <v>6.0984257552120269</v>
      </c>
      <c r="Y28" s="29">
        <f t="shared" si="2"/>
        <v>7.0631970260223049</v>
      </c>
      <c r="Z28" s="29">
        <f t="shared" si="2"/>
        <v>15.726498752146131</v>
      </c>
      <c r="AA28" s="29">
        <f t="shared" si="2"/>
        <v>1.3546639143336343</v>
      </c>
      <c r="AB28" s="29">
        <f t="shared" si="2"/>
        <v>1.927849099906763</v>
      </c>
      <c r="AC28" s="29">
        <f t="shared" si="2"/>
        <v>2.1455112908756289</v>
      </c>
      <c r="AD28" s="29">
        <f t="shared" si="2"/>
        <v>0.78019265982007802</v>
      </c>
      <c r="AE28" s="29">
        <f t="shared" si="2"/>
        <v>0.65885582626599348</v>
      </c>
      <c r="AF28" s="29">
        <f t="shared" si="2"/>
        <v>2.1130462801227803</v>
      </c>
      <c r="AG28" s="29">
        <f t="shared" si="2"/>
        <v>1.0947604592846774</v>
      </c>
      <c r="AH28" s="29">
        <f t="shared" si="2"/>
        <v>0.65559101619590177</v>
      </c>
      <c r="AI28" s="29">
        <f t="shared" si="2"/>
        <v>0.30013600633159421</v>
      </c>
      <c r="AJ28" s="29">
        <f t="shared" si="2"/>
        <v>0.49320695102685619</v>
      </c>
      <c r="AK28" s="29">
        <f t="shared" si="2"/>
        <v>0.44505494505494508</v>
      </c>
      <c r="AL28" s="29">
        <f t="shared" si="2"/>
        <v>0.34367693942614236</v>
      </c>
      <c r="AM28" s="29">
        <f t="shared" ref="AM28" si="3">AM26/AM7</f>
        <v>0.38468085106382977</v>
      </c>
      <c r="AN28" s="29"/>
      <c r="AO28" s="1"/>
    </row>
    <row r="29" spans="1:41" x14ac:dyDescent="0.3">
      <c r="A29" s="15" t="s">
        <v>68</v>
      </c>
      <c r="B29" s="2" t="s">
        <v>30</v>
      </c>
      <c r="C29" s="1" t="s">
        <v>49</v>
      </c>
      <c r="D29" s="3">
        <f>D15-D14</f>
        <v>0</v>
      </c>
      <c r="E29" s="3">
        <f t="shared" ref="E29:AL29" si="4">E15-E14</f>
        <v>0</v>
      </c>
      <c r="F29" s="3">
        <f t="shared" si="4"/>
        <v>0</v>
      </c>
      <c r="G29" s="3">
        <f t="shared" si="4"/>
        <v>0</v>
      </c>
      <c r="H29" s="3">
        <f t="shared" si="4"/>
        <v>0</v>
      </c>
      <c r="I29" s="3">
        <f t="shared" si="4"/>
        <v>0</v>
      </c>
      <c r="J29" s="3">
        <f t="shared" si="4"/>
        <v>0</v>
      </c>
      <c r="K29" s="3">
        <f t="shared" si="4"/>
        <v>0</v>
      </c>
      <c r="L29" s="3">
        <f t="shared" si="4"/>
        <v>0</v>
      </c>
      <c r="M29" s="3">
        <f t="shared" si="4"/>
        <v>0</v>
      </c>
      <c r="N29" s="3">
        <f t="shared" si="4"/>
        <v>0</v>
      </c>
      <c r="O29" s="3">
        <f t="shared" si="4"/>
        <v>0</v>
      </c>
      <c r="P29" s="3">
        <f t="shared" si="4"/>
        <v>0</v>
      </c>
      <c r="Q29" s="3">
        <f t="shared" si="4"/>
        <v>260</v>
      </c>
      <c r="R29" s="3">
        <f t="shared" si="4"/>
        <v>357.99</v>
      </c>
      <c r="S29" s="3">
        <f t="shared" si="4"/>
        <v>407.68200000000002</v>
      </c>
      <c r="T29" s="3">
        <f t="shared" si="4"/>
        <v>1051.049</v>
      </c>
      <c r="U29" s="3">
        <f t="shared" si="4"/>
        <v>1059.3110000000001</v>
      </c>
      <c r="V29" s="3">
        <f t="shared" si="4"/>
        <v>1098.817</v>
      </c>
      <c r="W29" s="3">
        <f t="shared" si="4"/>
        <v>1169.7779999999998</v>
      </c>
      <c r="X29" s="3">
        <f t="shared" si="4"/>
        <v>1309.5730000000001</v>
      </c>
      <c r="Y29" s="3">
        <f t="shared" si="4"/>
        <v>1316.8920000000001</v>
      </c>
      <c r="Z29" s="3">
        <f t="shared" si="4"/>
        <v>1677.818</v>
      </c>
      <c r="AA29" s="3">
        <f t="shared" si="4"/>
        <v>1851.902</v>
      </c>
      <c r="AB29" s="3">
        <f t="shared" si="4"/>
        <v>1992.741</v>
      </c>
      <c r="AC29" s="3">
        <f t="shared" si="4"/>
        <v>1066.789</v>
      </c>
      <c r="AD29" s="3">
        <f t="shared" si="4"/>
        <v>926.87300000000005</v>
      </c>
      <c r="AE29" s="3">
        <f t="shared" si="4"/>
        <v>989.90199999999993</v>
      </c>
      <c r="AF29" s="3">
        <f t="shared" si="4"/>
        <v>1176.165</v>
      </c>
      <c r="AG29" s="3">
        <f t="shared" si="4"/>
        <v>1481</v>
      </c>
      <c r="AH29" s="3">
        <f t="shared" si="4"/>
        <v>1322.2</v>
      </c>
      <c r="AI29" s="3">
        <f t="shared" si="4"/>
        <v>1308.1999999999998</v>
      </c>
      <c r="AJ29" s="3">
        <f t="shared" si="4"/>
        <v>862.59999999999991</v>
      </c>
      <c r="AK29" s="3">
        <f t="shared" si="4"/>
        <v>674.2</v>
      </c>
      <c r="AL29" s="3">
        <f t="shared" si="4"/>
        <v>718</v>
      </c>
      <c r="AM29" s="3">
        <f t="shared" ref="AM29" si="5">AM15-AM14</f>
        <v>693.5</v>
      </c>
      <c r="AN29" s="3"/>
      <c r="AO29" s="1"/>
    </row>
    <row r="30" spans="1:41" x14ac:dyDescent="0.3">
      <c r="A30" s="6" t="s">
        <v>69</v>
      </c>
      <c r="B30" s="17" t="s">
        <v>31</v>
      </c>
      <c r="C30" s="6" t="s">
        <v>50</v>
      </c>
      <c r="D30" s="7">
        <f>D26+D29+D16+D17</f>
        <v>0</v>
      </c>
      <c r="E30" s="7">
        <f t="shared" ref="E30:AL30" si="6">E26+E29+E16+E17</f>
        <v>0</v>
      </c>
      <c r="F30" s="7">
        <f t="shared" si="6"/>
        <v>0</v>
      </c>
      <c r="G30" s="7">
        <f t="shared" si="6"/>
        <v>0</v>
      </c>
      <c r="H30" s="7">
        <f t="shared" si="6"/>
        <v>0</v>
      </c>
      <c r="I30" s="7">
        <f t="shared" si="6"/>
        <v>0</v>
      </c>
      <c r="J30" s="7">
        <f t="shared" si="6"/>
        <v>0</v>
      </c>
      <c r="K30" s="7">
        <f t="shared" si="6"/>
        <v>0</v>
      </c>
      <c r="L30" s="7">
        <f t="shared" si="6"/>
        <v>0</v>
      </c>
      <c r="M30" s="7">
        <f t="shared" si="6"/>
        <v>0</v>
      </c>
      <c r="N30" s="7">
        <f t="shared" si="6"/>
        <v>0</v>
      </c>
      <c r="O30" s="7">
        <f t="shared" si="6"/>
        <v>0</v>
      </c>
      <c r="P30" s="7">
        <f t="shared" si="6"/>
        <v>0</v>
      </c>
      <c r="Q30" s="7">
        <f t="shared" si="6"/>
        <v>690.65476190476193</v>
      </c>
      <c r="R30" s="7">
        <f t="shared" si="6"/>
        <v>754.75723809523811</v>
      </c>
      <c r="S30" s="7">
        <f t="shared" si="6"/>
        <v>859.38823809523808</v>
      </c>
      <c r="T30" s="7">
        <f t="shared" si="6"/>
        <v>1576.1389999999999</v>
      </c>
      <c r="U30" s="7">
        <f t="shared" si="6"/>
        <v>1354.1190000000001</v>
      </c>
      <c r="V30" s="7">
        <f t="shared" si="6"/>
        <v>1437.143</v>
      </c>
      <c r="W30" s="7">
        <f t="shared" si="6"/>
        <v>1615.5889999999997</v>
      </c>
      <c r="X30" s="7">
        <f t="shared" si="6"/>
        <v>1893.8030000000001</v>
      </c>
      <c r="Y30" s="7">
        <f t="shared" si="6"/>
        <v>2303.1509999999998</v>
      </c>
      <c r="Z30" s="7">
        <f t="shared" si="6"/>
        <v>3623.5870000000004</v>
      </c>
      <c r="AA30" s="7">
        <f t="shared" si="6"/>
        <v>2199.8070000000002</v>
      </c>
      <c r="AB30" s="7">
        <f t="shared" si="6"/>
        <v>2490.5889999999999</v>
      </c>
      <c r="AC30" s="7">
        <f t="shared" si="6"/>
        <v>1461.8729999999998</v>
      </c>
      <c r="AD30" s="7">
        <f t="shared" si="6"/>
        <v>1091.652</v>
      </c>
      <c r="AE30" s="7">
        <f t="shared" si="6"/>
        <v>1198.165</v>
      </c>
      <c r="AF30" s="7">
        <f t="shared" si="6"/>
        <v>1585.2859999999998</v>
      </c>
      <c r="AG30" s="7">
        <f t="shared" si="6"/>
        <v>1806.6779999999999</v>
      </c>
      <c r="AH30" s="7">
        <f t="shared" si="6"/>
        <v>1504.37</v>
      </c>
      <c r="AI30" s="7">
        <f t="shared" si="6"/>
        <v>1435.3609999999996</v>
      </c>
      <c r="AJ30" s="7">
        <f t="shared" si="6"/>
        <v>997.48699999999985</v>
      </c>
      <c r="AK30" s="7">
        <f t="shared" si="6"/>
        <v>766.60000000000014</v>
      </c>
      <c r="AL30" s="7">
        <f t="shared" si="6"/>
        <v>819.28</v>
      </c>
      <c r="AM30" s="7">
        <f t="shared" ref="AM30" si="7">AM26+AM29+AM16+AM17</f>
        <v>760.16800000000001</v>
      </c>
      <c r="AN30" s="7"/>
      <c r="AO30" s="1"/>
    </row>
    <row r="31" spans="1:41" x14ac:dyDescent="0.3">
      <c r="A31" s="1" t="s">
        <v>70</v>
      </c>
      <c r="B31" s="2" t="s">
        <v>32</v>
      </c>
      <c r="C31" s="1" t="s">
        <v>51</v>
      </c>
      <c r="D31" s="30" t="e">
        <f>D30/D7</f>
        <v>#DIV/0!</v>
      </c>
      <c r="E31" s="30" t="e">
        <f t="shared" ref="E31:AL31" si="8">E30/E7</f>
        <v>#DIV/0!</v>
      </c>
      <c r="F31" s="30" t="e">
        <f t="shared" si="8"/>
        <v>#DIV/0!</v>
      </c>
      <c r="G31" s="30" t="e">
        <f t="shared" si="8"/>
        <v>#DIV/0!</v>
      </c>
      <c r="H31" s="30" t="e">
        <f t="shared" si="8"/>
        <v>#DIV/0!</v>
      </c>
      <c r="I31" s="30" t="e">
        <f t="shared" si="8"/>
        <v>#DIV/0!</v>
      </c>
      <c r="J31" s="30" t="e">
        <f t="shared" si="8"/>
        <v>#DIV/0!</v>
      </c>
      <c r="K31" s="30" t="e">
        <f t="shared" si="8"/>
        <v>#DIV/0!</v>
      </c>
      <c r="L31" s="30" t="e">
        <f t="shared" si="8"/>
        <v>#DIV/0!</v>
      </c>
      <c r="M31" s="30" t="e">
        <f t="shared" si="8"/>
        <v>#DIV/0!</v>
      </c>
      <c r="N31" s="30" t="e">
        <f t="shared" si="8"/>
        <v>#DIV/0!</v>
      </c>
      <c r="O31" s="30" t="e">
        <f t="shared" si="8"/>
        <v>#DIV/0!</v>
      </c>
      <c r="P31" s="30" t="e">
        <f t="shared" si="8"/>
        <v>#DIV/0!</v>
      </c>
      <c r="Q31" s="30">
        <f t="shared" si="8"/>
        <v>12.742707784220698</v>
      </c>
      <c r="R31" s="30">
        <f t="shared" si="8"/>
        <v>19.820305622248902</v>
      </c>
      <c r="S31" s="30">
        <f t="shared" si="8"/>
        <v>18.429547684914287</v>
      </c>
      <c r="T31" s="30">
        <f t="shared" si="8"/>
        <v>21.468311154092376</v>
      </c>
      <c r="U31" s="30">
        <f t="shared" si="8"/>
        <v>17.303487227979605</v>
      </c>
      <c r="V31" s="30">
        <f t="shared" si="8"/>
        <v>13.573703448341</v>
      </c>
      <c r="W31" s="30">
        <f t="shared" si="8"/>
        <v>21.627697456492633</v>
      </c>
      <c r="X31" s="30">
        <f t="shared" si="8"/>
        <v>20.660495510729522</v>
      </c>
      <c r="Y31" s="30">
        <f t="shared" si="8"/>
        <v>19.458862791483607</v>
      </c>
      <c r="Z31" s="30">
        <f t="shared" si="8"/>
        <v>32.068844363417533</v>
      </c>
      <c r="AA31" s="30">
        <f t="shared" si="8"/>
        <v>11.825393497613213</v>
      </c>
      <c r="AB31" s="30">
        <f t="shared" si="8"/>
        <v>11.908431949126204</v>
      </c>
      <c r="AC31" s="30">
        <f t="shared" si="8"/>
        <v>10.229827225460626</v>
      </c>
      <c r="AD31" s="30">
        <f t="shared" si="8"/>
        <v>9.656449858026166</v>
      </c>
      <c r="AE31" s="30">
        <f t="shared" si="8"/>
        <v>5.8736457669493598</v>
      </c>
      <c r="AF31" s="30">
        <f t="shared" si="8"/>
        <v>8.9614304045765696</v>
      </c>
      <c r="AG31" s="30">
        <f t="shared" si="8"/>
        <v>6.62339976243896</v>
      </c>
      <c r="AH31" s="30">
        <f t="shared" si="8"/>
        <v>7.4784004931348855</v>
      </c>
      <c r="AI31" s="30">
        <f t="shared" si="8"/>
        <v>5.5146379695868317</v>
      </c>
      <c r="AJ31" s="30">
        <f t="shared" si="8"/>
        <v>5.2526961558715106</v>
      </c>
      <c r="AK31" s="30">
        <f t="shared" si="8"/>
        <v>6.0172684458398749</v>
      </c>
      <c r="AL31" s="30">
        <f t="shared" si="8"/>
        <v>4.3532412327311372</v>
      </c>
      <c r="AM31" s="30">
        <f t="shared" ref="AM31" si="9">AM30/AM7</f>
        <v>7.7018034447821684</v>
      </c>
      <c r="AN31" s="30"/>
      <c r="AO31" s="1"/>
    </row>
    <row r="32" spans="1:41" x14ac:dyDescent="0.3">
      <c r="A32" s="18" t="s">
        <v>72</v>
      </c>
      <c r="B32" s="17" t="s">
        <v>33</v>
      </c>
      <c r="C32" s="6" t="s">
        <v>109</v>
      </c>
      <c r="D32" s="27" t="e">
        <f>D7/D6</f>
        <v>#DIV/0!</v>
      </c>
      <c r="E32" s="27" t="e">
        <f t="shared" ref="E32:AF32" si="10">E7/E6</f>
        <v>#DIV/0!</v>
      </c>
      <c r="F32" s="27" t="e">
        <f t="shared" si="10"/>
        <v>#DIV/0!</v>
      </c>
      <c r="G32" s="27" t="e">
        <f t="shared" si="10"/>
        <v>#DIV/0!</v>
      </c>
      <c r="H32" s="27" t="e">
        <f t="shared" si="10"/>
        <v>#DIV/0!</v>
      </c>
      <c r="I32" s="27" t="e">
        <f t="shared" si="10"/>
        <v>#DIV/0!</v>
      </c>
      <c r="J32" s="27" t="e">
        <f t="shared" si="10"/>
        <v>#DIV/0!</v>
      </c>
      <c r="K32" s="27" t="e">
        <f t="shared" si="10"/>
        <v>#DIV/0!</v>
      </c>
      <c r="L32" s="27" t="e">
        <f t="shared" si="10"/>
        <v>#DIV/0!</v>
      </c>
      <c r="M32" s="27" t="e">
        <f t="shared" si="10"/>
        <v>#DIV/0!</v>
      </c>
      <c r="N32" s="27" t="e">
        <f t="shared" si="10"/>
        <v>#DIV/0!</v>
      </c>
      <c r="O32" s="27" t="e">
        <f t="shared" si="10"/>
        <v>#DIV/0!</v>
      </c>
      <c r="P32" s="27" t="e">
        <f t="shared" si="10"/>
        <v>#DIV/0!</v>
      </c>
      <c r="Q32" s="27">
        <f t="shared" si="10"/>
        <v>8.1791567319590752E-2</v>
      </c>
      <c r="R32" s="27">
        <f t="shared" si="10"/>
        <v>5.8491928175352904E-2</v>
      </c>
      <c r="S32" s="27">
        <f t="shared" si="10"/>
        <v>7.0185340714451275E-2</v>
      </c>
      <c r="T32" s="27">
        <f t="shared" si="10"/>
        <v>0.10669974464844471</v>
      </c>
      <c r="U32" s="27">
        <f t="shared" si="10"/>
        <v>0.10842253435266799</v>
      </c>
      <c r="V32" s="27">
        <f t="shared" si="10"/>
        <v>0.14414015808490188</v>
      </c>
      <c r="W32" s="27">
        <f t="shared" si="10"/>
        <v>0.1112472951419036</v>
      </c>
      <c r="X32" s="27">
        <f t="shared" si="10"/>
        <v>0.13159817784267022</v>
      </c>
      <c r="Y32" s="27">
        <f t="shared" si="10"/>
        <v>0.14211306129015991</v>
      </c>
      <c r="Z32" s="27">
        <f t="shared" si="10"/>
        <v>0.10592588356721072</v>
      </c>
      <c r="AA32" s="27">
        <f t="shared" si="10"/>
        <v>0.13507592683895581</v>
      </c>
      <c r="AB32" s="27">
        <f t="shared" si="10"/>
        <v>0.15096318474611017</v>
      </c>
      <c r="AC32" s="27">
        <f t="shared" si="10"/>
        <v>9.8866210328085027E-2</v>
      </c>
      <c r="AD32" s="27">
        <f t="shared" si="10"/>
        <v>8.9511361036044776E-2</v>
      </c>
      <c r="AE32" s="27">
        <f t="shared" si="10"/>
        <v>0.14164978706354622</v>
      </c>
      <c r="AF32" s="27">
        <f t="shared" si="10"/>
        <v>0.10853308154291574</v>
      </c>
      <c r="AG32" s="27">
        <f t="shared" ref="AG32:AI32" si="11">AG7/AG6</f>
        <v>0.15959045167329744</v>
      </c>
      <c r="AH32" s="27">
        <f t="shared" si="11"/>
        <v>0.13596620479891855</v>
      </c>
      <c r="AI32" s="27">
        <f t="shared" si="11"/>
        <v>0.21325850061450224</v>
      </c>
      <c r="AJ32" s="27">
        <f>AJ7/AI6</f>
        <v>0.15559197050389184</v>
      </c>
      <c r="AK32" s="27">
        <f>AK7/AJ6</f>
        <v>0.11642145663894728</v>
      </c>
      <c r="AL32" s="27">
        <f>AL7/AK6</f>
        <v>0.19468294196751834</v>
      </c>
      <c r="AM32" s="27">
        <f>AM7/AL6</f>
        <v>9.7069236821400479E-2</v>
      </c>
      <c r="AN32" s="27"/>
      <c r="AO32" s="1"/>
    </row>
    <row r="33" spans="1:41" x14ac:dyDescent="0.3">
      <c r="A33" s="16" t="s">
        <v>73</v>
      </c>
      <c r="B33" s="2" t="s">
        <v>34</v>
      </c>
      <c r="C33" s="1" t="s">
        <v>110</v>
      </c>
      <c r="D33" s="28" t="e">
        <f>D8/D6</f>
        <v>#DIV/0!</v>
      </c>
      <c r="E33" s="28" t="e">
        <f t="shared" ref="E33:AF33" si="12">E8/E6</f>
        <v>#DIV/0!</v>
      </c>
      <c r="F33" s="28" t="e">
        <f t="shared" si="12"/>
        <v>#DIV/0!</v>
      </c>
      <c r="G33" s="28" t="e">
        <f t="shared" si="12"/>
        <v>#DIV/0!</v>
      </c>
      <c r="H33" s="28" t="e">
        <f t="shared" si="12"/>
        <v>#DIV/0!</v>
      </c>
      <c r="I33" s="28" t="e">
        <f t="shared" si="12"/>
        <v>#DIV/0!</v>
      </c>
      <c r="J33" s="28" t="e">
        <f t="shared" si="12"/>
        <v>#DIV/0!</v>
      </c>
      <c r="K33" s="28" t="e">
        <f t="shared" si="12"/>
        <v>#DIV/0!</v>
      </c>
      <c r="L33" s="28" t="e">
        <f t="shared" si="12"/>
        <v>#DIV/0!</v>
      </c>
      <c r="M33" s="28" t="e">
        <f t="shared" si="12"/>
        <v>#DIV/0!</v>
      </c>
      <c r="N33" s="28" t="e">
        <f t="shared" si="12"/>
        <v>#DIV/0!</v>
      </c>
      <c r="O33" s="28" t="e">
        <f t="shared" si="12"/>
        <v>#DIV/0!</v>
      </c>
      <c r="P33" s="28" t="e">
        <f t="shared" si="12"/>
        <v>#DIV/0!</v>
      </c>
      <c r="Q33" s="28">
        <f t="shared" si="12"/>
        <v>4.8622219539431986E-2</v>
      </c>
      <c r="R33" s="28">
        <f t="shared" si="12"/>
        <v>2.5129410319032916E-2</v>
      </c>
      <c r="S33" s="28">
        <f t="shared" si="12"/>
        <v>3.9909813093958739E-2</v>
      </c>
      <c r="T33" s="28">
        <f t="shared" si="12"/>
        <v>7.0390991627317517E-2</v>
      </c>
      <c r="U33" s="28">
        <f t="shared" si="12"/>
        <v>7.3553086960256475E-2</v>
      </c>
      <c r="V33" s="28">
        <f t="shared" si="12"/>
        <v>0.10872353112551766</v>
      </c>
      <c r="W33" s="28">
        <f t="shared" si="12"/>
        <v>7.3131320953658874E-2</v>
      </c>
      <c r="X33" s="28">
        <f t="shared" si="12"/>
        <v>8.6469204076739636E-2</v>
      </c>
      <c r="Y33" s="28">
        <f t="shared" si="12"/>
        <v>0.10490263646383897</v>
      </c>
      <c r="Z33" s="28">
        <f t="shared" si="12"/>
        <v>6.5533168280169155E-2</v>
      </c>
      <c r="AA33" s="28">
        <f t="shared" si="12"/>
        <v>9.5190102099869223E-2</v>
      </c>
      <c r="AB33" s="28">
        <f t="shared" si="12"/>
        <v>0.11104414308028561</v>
      </c>
      <c r="AC33" s="28">
        <f t="shared" si="12"/>
        <v>5.8030272211913793E-2</v>
      </c>
      <c r="AD33" s="28">
        <f t="shared" si="12"/>
        <v>4.0658549736847731E-2</v>
      </c>
      <c r="AE33" s="28">
        <f t="shared" si="12"/>
        <v>9.9467329027616805E-2</v>
      </c>
      <c r="AF33" s="28">
        <f t="shared" si="12"/>
        <v>6.9969391267216269E-2</v>
      </c>
      <c r="AG33" s="28">
        <f t="shared" ref="AG33:AI33" si="13">AG8/AG6</f>
        <v>0.11539609173882519</v>
      </c>
      <c r="AH33" s="28">
        <f t="shared" si="13"/>
        <v>8.4424467725582972E-2</v>
      </c>
      <c r="AI33" s="28">
        <f t="shared" si="13"/>
        <v>0.15634903727980337</v>
      </c>
      <c r="AJ33" s="28">
        <f>AJ8/AI6</f>
        <v>0.10958213846784105</v>
      </c>
      <c r="AK33" s="28">
        <f>AK8/AJ6</f>
        <v>7.6670017362697629E-2</v>
      </c>
      <c r="AL33" s="28">
        <f>AL8/AK6</f>
        <v>0.13499534498810387</v>
      </c>
      <c r="AM33" s="28">
        <f>AM8/AL6</f>
        <v>5.1534225019669554E-2</v>
      </c>
      <c r="AN33" s="28"/>
      <c r="AO33" s="1"/>
    </row>
    <row r="34" spans="1:41" x14ac:dyDescent="0.3">
      <c r="A34" s="18" t="s">
        <v>74</v>
      </c>
      <c r="B34" s="17" t="s">
        <v>35</v>
      </c>
      <c r="C34" s="6" t="s">
        <v>54</v>
      </c>
      <c r="D34" s="27" t="e">
        <f>D11/D10</f>
        <v>#DIV/0!</v>
      </c>
      <c r="E34" s="27" t="e">
        <f t="shared" ref="E34:AL34" si="14">E11/E10</f>
        <v>#DIV/0!</v>
      </c>
      <c r="F34" s="27" t="e">
        <f t="shared" si="14"/>
        <v>#DIV/0!</v>
      </c>
      <c r="G34" s="27" t="e">
        <f t="shared" si="14"/>
        <v>#DIV/0!</v>
      </c>
      <c r="H34" s="27" t="e">
        <f t="shared" si="14"/>
        <v>#DIV/0!</v>
      </c>
      <c r="I34" s="27" t="e">
        <f t="shared" si="14"/>
        <v>#DIV/0!</v>
      </c>
      <c r="J34" s="27" t="e">
        <f t="shared" si="14"/>
        <v>#DIV/0!</v>
      </c>
      <c r="K34" s="27" t="e">
        <f t="shared" si="14"/>
        <v>#DIV/0!</v>
      </c>
      <c r="L34" s="27" t="e">
        <f t="shared" si="14"/>
        <v>#DIV/0!</v>
      </c>
      <c r="M34" s="27" t="e">
        <f t="shared" si="14"/>
        <v>#DIV/0!</v>
      </c>
      <c r="N34" s="27" t="e">
        <f t="shared" si="14"/>
        <v>#DIV/0!</v>
      </c>
      <c r="O34" s="27" t="e">
        <f t="shared" si="14"/>
        <v>#DIV/0!</v>
      </c>
      <c r="P34" s="27" t="e">
        <f t="shared" si="14"/>
        <v>#DIV/0!</v>
      </c>
      <c r="Q34" s="27">
        <f t="shared" si="14"/>
        <v>0.29658703071672354</v>
      </c>
      <c r="R34" s="27">
        <f t="shared" si="14"/>
        <v>0.29135802469135802</v>
      </c>
      <c r="S34" s="27">
        <f t="shared" si="14"/>
        <v>7.469945355191257E-2</v>
      </c>
      <c r="T34" s="27">
        <f t="shared" si="14"/>
        <v>0.37960655545457211</v>
      </c>
      <c r="U34" s="27">
        <f t="shared" si="14"/>
        <v>0.38496297702677046</v>
      </c>
      <c r="V34" s="27">
        <f t="shared" si="14"/>
        <v>0.4786267500744712</v>
      </c>
      <c r="W34" s="27">
        <f t="shared" si="14"/>
        <v>2.0104341042435275E-2</v>
      </c>
      <c r="X34" s="27">
        <f t="shared" si="14"/>
        <v>3.0405467472579967E-3</v>
      </c>
      <c r="Y34" s="27">
        <f t="shared" si="14"/>
        <v>2.6864967993340847E-2</v>
      </c>
      <c r="Z34" s="27">
        <f t="shared" si="14"/>
        <v>4.6212613905646134E-2</v>
      </c>
      <c r="AA34" s="27">
        <f t="shared" si="14"/>
        <v>-0.11062464331477673</v>
      </c>
      <c r="AB34" s="27">
        <f t="shared" si="14"/>
        <v>-0.24190134576456701</v>
      </c>
      <c r="AC34" s="27">
        <f t="shared" si="14"/>
        <v>0.40514819178827161</v>
      </c>
      <c r="AD34" s="27">
        <f t="shared" si="14"/>
        <v>-0.12528075350618434</v>
      </c>
      <c r="AE34" s="27">
        <f t="shared" si="14"/>
        <v>-0.58758823715615205</v>
      </c>
      <c r="AF34" s="27">
        <f t="shared" si="14"/>
        <v>4.0586764590983675</v>
      </c>
      <c r="AG34" s="27">
        <f t="shared" ref="AG34:AI34" si="15">AG11/AG10</f>
        <v>0.36304054054054052</v>
      </c>
      <c r="AH34" s="27">
        <f t="shared" si="15"/>
        <v>0.22745697896749525</v>
      </c>
      <c r="AI34" s="27">
        <f t="shared" si="15"/>
        <v>0.47591549295774649</v>
      </c>
      <c r="AJ34" s="27">
        <f t="shared" si="14"/>
        <v>1.1033226837060701</v>
      </c>
      <c r="AK34" s="27">
        <f t="shared" si="14"/>
        <v>0.67465753424657537</v>
      </c>
      <c r="AL34" s="27">
        <f t="shared" si="14"/>
        <v>0.62045454545454548</v>
      </c>
      <c r="AM34" s="27">
        <f t="shared" ref="AM34" si="16">AM11/AM10</f>
        <v>0.77272727272727271</v>
      </c>
      <c r="AN34" s="27"/>
      <c r="AO34" s="1"/>
    </row>
    <row r="35" spans="1:41" x14ac:dyDescent="0.3">
      <c r="A35" s="16" t="s">
        <v>75</v>
      </c>
      <c r="B35" s="2" t="s">
        <v>36</v>
      </c>
      <c r="C35" s="1" t="s">
        <v>108</v>
      </c>
      <c r="D35" s="28" t="e">
        <f>D12/D6</f>
        <v>#DIV/0!</v>
      </c>
      <c r="E35" s="28" t="e">
        <f t="shared" ref="E35:AF35" si="17">E12/E6</f>
        <v>#DIV/0!</v>
      </c>
      <c r="F35" s="28" t="e">
        <f t="shared" si="17"/>
        <v>#DIV/0!</v>
      </c>
      <c r="G35" s="28" t="e">
        <f t="shared" si="17"/>
        <v>#DIV/0!</v>
      </c>
      <c r="H35" s="28" t="e">
        <f t="shared" si="17"/>
        <v>#DIV/0!</v>
      </c>
      <c r="I35" s="28" t="e">
        <f t="shared" si="17"/>
        <v>#DIV/0!</v>
      </c>
      <c r="J35" s="28" t="e">
        <f t="shared" si="17"/>
        <v>#DIV/0!</v>
      </c>
      <c r="K35" s="28" t="e">
        <f t="shared" si="17"/>
        <v>#DIV/0!</v>
      </c>
      <c r="L35" s="28" t="e">
        <f t="shared" si="17"/>
        <v>#DIV/0!</v>
      </c>
      <c r="M35" s="28" t="e">
        <f t="shared" si="17"/>
        <v>#DIV/0!</v>
      </c>
      <c r="N35" s="28" t="e">
        <f t="shared" si="17"/>
        <v>#DIV/0!</v>
      </c>
      <c r="O35" s="28" t="e">
        <f t="shared" si="17"/>
        <v>#DIV/0!</v>
      </c>
      <c r="P35" s="28" t="e">
        <f t="shared" si="17"/>
        <v>#DIV/0!</v>
      </c>
      <c r="Q35" s="28">
        <f t="shared" si="17"/>
        <v>2.9094860109256635E-2</v>
      </c>
      <c r="R35" s="28">
        <f t="shared" si="17"/>
        <v>3.0766631338033579E-2</v>
      </c>
      <c r="S35" s="28">
        <f t="shared" si="17"/>
        <v>4.2050096478315702E-2</v>
      </c>
      <c r="T35" s="28">
        <f t="shared" si="17"/>
        <v>2.9819597105531261E-2</v>
      </c>
      <c r="U35" s="28">
        <f t="shared" si="17"/>
        <v>2.9125298914624717E-2</v>
      </c>
      <c r="V35" s="28">
        <f t="shared" si="17"/>
        <v>1.4803782493036478E-2</v>
      </c>
      <c r="W35" s="28">
        <f t="shared" si="17"/>
        <v>9.1373196699216799E-2</v>
      </c>
      <c r="X35" s="28">
        <f t="shared" si="17"/>
        <v>0.15545907826863467</v>
      </c>
      <c r="Y35" s="28">
        <f t="shared" si="17"/>
        <v>0.13717584510204622</v>
      </c>
      <c r="Z35" s="28">
        <f t="shared" si="17"/>
        <v>0.11460476766782877</v>
      </c>
      <c r="AA35" s="28">
        <f t="shared" si="17"/>
        <v>-0.25214114920261027</v>
      </c>
      <c r="AB35" s="28">
        <f t="shared" si="17"/>
        <v>8.4184108029138074E-2</v>
      </c>
      <c r="AC35" s="28">
        <f t="shared" si="17"/>
        <v>3.2095905821015104E-2</v>
      </c>
      <c r="AD35" s="28">
        <f t="shared" si="17"/>
        <v>-0.15870453229999121</v>
      </c>
      <c r="AE35" s="28">
        <f t="shared" si="17"/>
        <v>1.6667580954391394E-2</v>
      </c>
      <c r="AF35" s="28">
        <f t="shared" si="17"/>
        <v>3.9249610565381149E-2</v>
      </c>
      <c r="AG35" s="28">
        <f t="shared" ref="AG35:AI35" si="18">AG12/AG6</f>
        <v>4.1119237069974258E-2</v>
      </c>
      <c r="AH35" s="28">
        <f t="shared" si="18"/>
        <v>2.2746198039878335E-2</v>
      </c>
      <c r="AI35" s="28">
        <f t="shared" si="18"/>
        <v>1.6507169192953707E-2</v>
      </c>
      <c r="AJ35" s="28">
        <f>AJ12/AI6</f>
        <v>-3.809913969684556E-3</v>
      </c>
      <c r="AK35" s="28">
        <f>AK12/AJ6</f>
        <v>1.0143470711870602E-2</v>
      </c>
      <c r="AL35" s="28">
        <f>AL12/AK6</f>
        <v>1.4896038067652839E-2</v>
      </c>
      <c r="AM35" s="28">
        <f>AM12/AL6</f>
        <v>3.540519276160504E-3</v>
      </c>
      <c r="AN35" s="28"/>
      <c r="AO35" s="1"/>
    </row>
    <row r="36" spans="1:41" x14ac:dyDescent="0.3">
      <c r="A36" s="18" t="s">
        <v>76</v>
      </c>
      <c r="B36" s="17" t="s">
        <v>37</v>
      </c>
      <c r="C36" s="6" t="s">
        <v>56</v>
      </c>
      <c r="D36" s="29" t="e">
        <f>D26/D12</f>
        <v>#DIV/0!</v>
      </c>
      <c r="E36" s="29" t="e">
        <f t="shared" ref="E36:P36" si="19">E26/E12</f>
        <v>#DIV/0!</v>
      </c>
      <c r="F36" s="29" t="e">
        <f t="shared" si="19"/>
        <v>#DIV/0!</v>
      </c>
      <c r="G36" s="29" t="e">
        <f t="shared" si="19"/>
        <v>#DIV/0!</v>
      </c>
      <c r="H36" s="29" t="e">
        <f t="shared" si="19"/>
        <v>#DIV/0!</v>
      </c>
      <c r="I36" s="29" t="e">
        <f t="shared" si="19"/>
        <v>#DIV/0!</v>
      </c>
      <c r="J36" s="29" t="e">
        <f t="shared" si="19"/>
        <v>#DIV/0!</v>
      </c>
      <c r="K36" s="29" t="e">
        <f t="shared" si="19"/>
        <v>#DIV/0!</v>
      </c>
      <c r="L36" s="29" t="e">
        <f t="shared" si="19"/>
        <v>#DIV/0!</v>
      </c>
      <c r="M36" s="29" t="e">
        <f t="shared" si="19"/>
        <v>#DIV/0!</v>
      </c>
      <c r="N36" s="29" t="e">
        <f t="shared" si="19"/>
        <v>#DIV/0!</v>
      </c>
      <c r="O36" s="29" t="e">
        <f t="shared" si="19"/>
        <v>#DIV/0!</v>
      </c>
      <c r="P36" s="29" t="e">
        <f t="shared" si="19"/>
        <v>#DIV/0!</v>
      </c>
      <c r="Q36" s="29">
        <f t="shared" ref="Q36:AL36" si="20">IF(Q26/Q12&lt;0,0,Q26/Q12)</f>
        <v>20.88458308634657</v>
      </c>
      <c r="R36" s="29">
        <f t="shared" si="20"/>
        <v>18.951334902408291</v>
      </c>
      <c r="S36" s="29">
        <f t="shared" si="20"/>
        <v>15.58702262492799</v>
      </c>
      <c r="T36" s="29">
        <f t="shared" si="20"/>
        <v>24.563797641095622</v>
      </c>
      <c r="U36" s="29">
        <f t="shared" si="20"/>
        <v>12.98639520502331</v>
      </c>
      <c r="V36" s="29">
        <f t="shared" si="20"/>
        <v>28.968180982159279</v>
      </c>
      <c r="W36" s="29">
        <f t="shared" si="20"/>
        <v>6.9106022329068537</v>
      </c>
      <c r="X36" s="29">
        <f t="shared" si="20"/>
        <v>5.1623985297784509</v>
      </c>
      <c r="Y36" s="29">
        <f t="shared" si="20"/>
        <v>7.3174147468664659</v>
      </c>
      <c r="Z36" s="29">
        <f t="shared" si="20"/>
        <v>14.53554952066224</v>
      </c>
      <c r="AA36" s="29">
        <f t="shared" si="20"/>
        <v>0</v>
      </c>
      <c r="AB36" s="29">
        <f t="shared" si="20"/>
        <v>3.4571161546442135</v>
      </c>
      <c r="AC36" s="29">
        <f t="shared" si="20"/>
        <v>6.6088980858768744</v>
      </c>
      <c r="AD36" s="29">
        <f t="shared" si="20"/>
        <v>0</v>
      </c>
      <c r="AE36" s="29">
        <f t="shared" si="20"/>
        <v>5.5993000874890644</v>
      </c>
      <c r="AF36" s="29">
        <f t="shared" si="20"/>
        <v>5.8429987182292811</v>
      </c>
      <c r="AG36" s="29">
        <f t="shared" si="20"/>
        <v>4.2489435266999616</v>
      </c>
      <c r="AH36" s="29">
        <f t="shared" si="20"/>
        <v>3.9188185302944758</v>
      </c>
      <c r="AI36" s="29">
        <f t="shared" si="20"/>
        <v>3.877500372263861</v>
      </c>
      <c r="AJ36" s="29">
        <f t="shared" si="20"/>
        <v>0</v>
      </c>
      <c r="AK36" s="29">
        <f t="shared" si="20"/>
        <v>5.1081081081081088</v>
      </c>
      <c r="AL36" s="29">
        <f t="shared" si="20"/>
        <v>4.4916666666666663</v>
      </c>
      <c r="AM36" s="29">
        <f t="shared" ref="AM36" si="21">IF(AM26/AM12&lt;0,0,AM26/AM12)</f>
        <v>10.546666666666665</v>
      </c>
      <c r="AN36" s="29"/>
      <c r="AO36" s="1"/>
    </row>
    <row r="37" spans="1:41" x14ac:dyDescent="0.3">
      <c r="A37" s="16" t="s">
        <v>77</v>
      </c>
      <c r="B37" s="2" t="s">
        <v>38</v>
      </c>
      <c r="C37" s="1" t="s">
        <v>57</v>
      </c>
      <c r="D37" s="30" t="e">
        <f>D26/D23</f>
        <v>#DIV/0!</v>
      </c>
      <c r="E37" s="30" t="e">
        <f t="shared" ref="E37:AL37" si="22">E26/E23</f>
        <v>#DIV/0!</v>
      </c>
      <c r="F37" s="30" t="e">
        <f t="shared" si="22"/>
        <v>#DIV/0!</v>
      </c>
      <c r="G37" s="30" t="e">
        <f t="shared" si="22"/>
        <v>#DIV/0!</v>
      </c>
      <c r="H37" s="30" t="e">
        <f t="shared" si="22"/>
        <v>#DIV/0!</v>
      </c>
      <c r="I37" s="30" t="e">
        <f t="shared" si="22"/>
        <v>#DIV/0!</v>
      </c>
      <c r="J37" s="30" t="e">
        <f t="shared" si="22"/>
        <v>#DIV/0!</v>
      </c>
      <c r="K37" s="30" t="e">
        <f t="shared" si="22"/>
        <v>#DIV/0!</v>
      </c>
      <c r="L37" s="30" t="e">
        <f t="shared" si="22"/>
        <v>#DIV/0!</v>
      </c>
      <c r="M37" s="30" t="e">
        <f t="shared" si="22"/>
        <v>#DIV/0!</v>
      </c>
      <c r="N37" s="30" t="e">
        <f t="shared" si="22"/>
        <v>#DIV/0!</v>
      </c>
      <c r="O37" s="30" t="e">
        <f t="shared" si="22"/>
        <v>#DIV/0!</v>
      </c>
      <c r="P37" s="30" t="e">
        <f t="shared" si="22"/>
        <v>#DIV/0!</v>
      </c>
      <c r="Q37" s="30">
        <f t="shared" si="22"/>
        <v>1.8010635023584276</v>
      </c>
      <c r="R37" s="30">
        <f t="shared" si="22"/>
        <v>1.5063303099017384</v>
      </c>
      <c r="S37" s="30">
        <f t="shared" si="22"/>
        <v>1.5433559852821401</v>
      </c>
      <c r="T37" s="30">
        <f t="shared" si="22"/>
        <v>1.8181752591080118</v>
      </c>
      <c r="U37" s="30">
        <f t="shared" si="22"/>
        <v>1.0694684389286513</v>
      </c>
      <c r="V37" s="30">
        <f t="shared" si="22"/>
        <v>1.3226346882990918</v>
      </c>
      <c r="W37" s="30">
        <f t="shared" si="22"/>
        <v>1.1557101348146774</v>
      </c>
      <c r="X37" s="30">
        <f t="shared" si="22"/>
        <v>1.0273242522035095</v>
      </c>
      <c r="Y37" s="30">
        <f t="shared" si="22"/>
        <v>1.0679529794099687</v>
      </c>
      <c r="Z37" s="30">
        <f t="shared" si="22"/>
        <v>2.1297123030735214</v>
      </c>
      <c r="AA37" s="30">
        <f t="shared" si="22"/>
        <v>0.74351197290311921</v>
      </c>
      <c r="AB37" s="30">
        <f t="shared" si="22"/>
        <v>0.78814344523458602</v>
      </c>
      <c r="AC37" s="30">
        <f t="shared" si="22"/>
        <v>0.54554577709134777</v>
      </c>
      <c r="AD37" s="30">
        <f t="shared" si="22"/>
        <v>0.2651427472035256</v>
      </c>
      <c r="AE37" s="30">
        <f t="shared" si="22"/>
        <v>0.41243693765573791</v>
      </c>
      <c r="AF37" s="30">
        <f t="shared" si="22"/>
        <v>1.036237830165665</v>
      </c>
      <c r="AG37" s="30">
        <f t="shared" si="22"/>
        <v>0.65243609351103349</v>
      </c>
      <c r="AH37" s="30">
        <f t="shared" si="22"/>
        <v>0.28185509724300062</v>
      </c>
      <c r="AI37" s="30">
        <f t="shared" si="22"/>
        <v>0.19737241030823649</v>
      </c>
      <c r="AJ37" s="30">
        <f t="shared" si="22"/>
        <v>0.25478781284004348</v>
      </c>
      <c r="AK37" s="30">
        <f t="shared" si="22"/>
        <v>0.15424374319912948</v>
      </c>
      <c r="AL37" s="30">
        <f t="shared" si="22"/>
        <v>0.21567189063021006</v>
      </c>
      <c r="AM37" s="30">
        <f t="shared" ref="AM37:AN37" si="23">AM26/AM23</f>
        <v>0.18114503816793892</v>
      </c>
      <c r="AN37" s="30">
        <f t="shared" si="23"/>
        <v>0.18822074215033302</v>
      </c>
      <c r="AO37" s="1"/>
    </row>
    <row r="38" spans="1:41" x14ac:dyDescent="0.3">
      <c r="A38" s="18" t="s">
        <v>78</v>
      </c>
      <c r="B38" s="17" t="s">
        <v>39</v>
      </c>
      <c r="C38" s="6" t="s">
        <v>106</v>
      </c>
      <c r="D38" s="55" t="e">
        <f>D8/D23</f>
        <v>#DIV/0!</v>
      </c>
      <c r="E38" s="55" t="e">
        <f t="shared" ref="E38:AL38" si="24">E8/E23</f>
        <v>#DIV/0!</v>
      </c>
      <c r="F38" s="55" t="e">
        <f t="shared" si="24"/>
        <v>#DIV/0!</v>
      </c>
      <c r="G38" s="55" t="e">
        <f t="shared" si="24"/>
        <v>#DIV/0!</v>
      </c>
      <c r="H38" s="55" t="e">
        <f t="shared" si="24"/>
        <v>#DIV/0!</v>
      </c>
      <c r="I38" s="55" t="e">
        <f t="shared" si="24"/>
        <v>#DIV/0!</v>
      </c>
      <c r="J38" s="55" t="e">
        <f t="shared" si="24"/>
        <v>#DIV/0!</v>
      </c>
      <c r="K38" s="55" t="e">
        <f t="shared" si="24"/>
        <v>#DIV/0!</v>
      </c>
      <c r="L38" s="55" t="e">
        <f t="shared" si="24"/>
        <v>#DIV/0!</v>
      </c>
      <c r="M38" s="55" t="e">
        <f t="shared" si="24"/>
        <v>#DIV/0!</v>
      </c>
      <c r="N38" s="55" t="e">
        <f t="shared" si="24"/>
        <v>#DIV/0!</v>
      </c>
      <c r="O38" s="55" t="e">
        <f t="shared" si="24"/>
        <v>#DIV/0!</v>
      </c>
      <c r="P38" s="55" t="e">
        <f t="shared" si="24"/>
        <v>#DIV/0!</v>
      </c>
      <c r="Q38" s="55">
        <f t="shared" si="24"/>
        <v>0.14411915997584596</v>
      </c>
      <c r="R38" s="55">
        <f t="shared" si="24"/>
        <v>6.492063492063492E-2</v>
      </c>
      <c r="S38" s="55">
        <f t="shared" si="24"/>
        <v>9.3975715733737822E-2</v>
      </c>
      <c r="T38" s="55">
        <f t="shared" si="24"/>
        <v>0.17472519940404252</v>
      </c>
      <c r="U38" s="55">
        <f t="shared" si="24"/>
        <v>0.20797439543693466</v>
      </c>
      <c r="V38" s="55">
        <f t="shared" si="24"/>
        <v>0.33532778246648276</v>
      </c>
      <c r="W38" s="55">
        <f t="shared" si="24"/>
        <v>0.13384976858539988</v>
      </c>
      <c r="X38" s="55">
        <f t="shared" si="24"/>
        <v>0.11068821535950836</v>
      </c>
      <c r="Y38" s="55">
        <f t="shared" si="24"/>
        <v>0.11161002853836072</v>
      </c>
      <c r="Z38" s="55">
        <f t="shared" si="24"/>
        <v>8.3781467787651998E-2</v>
      </c>
      <c r="AA38" s="55">
        <f t="shared" si="24"/>
        <v>0.38678554990381547</v>
      </c>
      <c r="AB38" s="55">
        <f t="shared" si="24"/>
        <v>0.30071620971809015</v>
      </c>
      <c r="AC38" s="55">
        <f t="shared" si="24"/>
        <v>0.14924751693042423</v>
      </c>
      <c r="AD38" s="55">
        <f t="shared" si="24"/>
        <v>0.15436598717574876</v>
      </c>
      <c r="AE38" s="55">
        <f t="shared" si="24"/>
        <v>0.43957369241533378</v>
      </c>
      <c r="AF38" s="55">
        <f t="shared" si="24"/>
        <v>0.3161523363864186</v>
      </c>
      <c r="AG38" s="55">
        <f t="shared" si="24"/>
        <v>0.43092637098536163</v>
      </c>
      <c r="AH38" s="55">
        <f t="shared" si="24"/>
        <v>0.26695020303483652</v>
      </c>
      <c r="AI38" s="55">
        <f t="shared" si="24"/>
        <v>0.48212228398180901</v>
      </c>
      <c r="AJ38" s="55">
        <f t="shared" si="24"/>
        <v>0.36383297062023939</v>
      </c>
      <c r="AK38" s="55">
        <f t="shared" si="24"/>
        <v>0.22823721436343852</v>
      </c>
      <c r="AL38" s="55">
        <f t="shared" si="24"/>
        <v>0.43514504834944984</v>
      </c>
      <c r="AM38" s="55">
        <f t="shared" ref="AM38:AN38" si="25">AM8/AM23</f>
        <v>0.25</v>
      </c>
      <c r="AN38" s="55">
        <f t="shared" si="25"/>
        <v>0</v>
      </c>
      <c r="AO38" s="1"/>
    </row>
    <row r="39" spans="1:41" x14ac:dyDescent="0.3">
      <c r="A39" s="16" t="s">
        <v>79</v>
      </c>
      <c r="B39" s="2" t="s">
        <v>40</v>
      </c>
      <c r="C39" s="1" t="s">
        <v>107</v>
      </c>
      <c r="D39" s="56" t="e">
        <f>D12/D23</f>
        <v>#DIV/0!</v>
      </c>
      <c r="E39" s="56" t="e">
        <f t="shared" ref="E39:AL39" si="26">E12/E23</f>
        <v>#DIV/0!</v>
      </c>
      <c r="F39" s="56" t="e">
        <f t="shared" si="26"/>
        <v>#DIV/0!</v>
      </c>
      <c r="G39" s="56" t="e">
        <f t="shared" si="26"/>
        <v>#DIV/0!</v>
      </c>
      <c r="H39" s="56" t="e">
        <f t="shared" si="26"/>
        <v>#DIV/0!</v>
      </c>
      <c r="I39" s="56" t="e">
        <f t="shared" si="26"/>
        <v>#DIV/0!</v>
      </c>
      <c r="J39" s="56" t="e">
        <f t="shared" si="26"/>
        <v>#DIV/0!</v>
      </c>
      <c r="K39" s="56" t="e">
        <f t="shared" si="26"/>
        <v>#DIV/0!</v>
      </c>
      <c r="L39" s="56" t="e">
        <f t="shared" si="26"/>
        <v>#DIV/0!</v>
      </c>
      <c r="M39" s="56" t="e">
        <f t="shared" si="26"/>
        <v>#DIV/0!</v>
      </c>
      <c r="N39" s="56" t="e">
        <f t="shared" si="26"/>
        <v>#DIV/0!</v>
      </c>
      <c r="O39" s="56" t="e">
        <f t="shared" si="26"/>
        <v>#DIV/0!</v>
      </c>
      <c r="P39" s="56" t="e">
        <f t="shared" si="26"/>
        <v>#DIV/0!</v>
      </c>
      <c r="Q39" s="56">
        <f t="shared" si="26"/>
        <v>8.6238901438060525E-2</v>
      </c>
      <c r="R39" s="56">
        <f t="shared" si="26"/>
        <v>7.948412698412699E-2</v>
      </c>
      <c r="S39" s="56">
        <f t="shared" si="26"/>
        <v>9.901544524698927E-2</v>
      </c>
      <c r="T39" s="56">
        <f t="shared" si="26"/>
        <v>7.4018491996782121E-2</v>
      </c>
      <c r="U39" s="56">
        <f t="shared" si="26"/>
        <v>8.2352987264315392E-2</v>
      </c>
      <c r="V39" s="56">
        <f t="shared" si="26"/>
        <v>4.5658189208140715E-2</v>
      </c>
      <c r="W39" s="56">
        <f t="shared" si="26"/>
        <v>0.1672372531168739</v>
      </c>
      <c r="X39" s="56">
        <f t="shared" si="26"/>
        <v>0.19900134526181149</v>
      </c>
      <c r="Y39" s="56">
        <f t="shared" si="26"/>
        <v>0.14594676075553842</v>
      </c>
      <c r="Z39" s="56">
        <f t="shared" si="26"/>
        <v>0.14651749492140917</v>
      </c>
      <c r="AA39" s="56">
        <f t="shared" si="26"/>
        <v>-1.0245240933284554</v>
      </c>
      <c r="AB39" s="56">
        <f t="shared" si="26"/>
        <v>0.2279771375849815</v>
      </c>
      <c r="AC39" s="56">
        <f t="shared" si="26"/>
        <v>8.2547161418205506E-2</v>
      </c>
      <c r="AD39" s="56">
        <f t="shared" si="26"/>
        <v>-0.60254440840400303</v>
      </c>
      <c r="AE39" s="56">
        <f t="shared" si="26"/>
        <v>7.3658659334454438E-2</v>
      </c>
      <c r="AF39" s="56">
        <f t="shared" si="26"/>
        <v>0.17734692067153088</v>
      </c>
      <c r="AG39" s="56">
        <f t="shared" si="26"/>
        <v>0.15355254533537252</v>
      </c>
      <c r="AH39" s="56">
        <f t="shared" si="26"/>
        <v>7.1923487924770255E-2</v>
      </c>
      <c r="AI39" s="56">
        <f t="shared" si="26"/>
        <v>5.0901970692268816E-2</v>
      </c>
      <c r="AJ39" s="56">
        <f t="shared" si="26"/>
        <v>-1.2649619151251359E-2</v>
      </c>
      <c r="AK39" s="56">
        <f t="shared" si="26"/>
        <v>3.019586507072905E-2</v>
      </c>
      <c r="AL39" s="56">
        <f t="shared" si="26"/>
        <v>4.801600533511171E-2</v>
      </c>
      <c r="AM39" s="56">
        <f t="shared" ref="AM39:AN39" si="27">AM12/AM23</f>
        <v>1.717557251908397E-2</v>
      </c>
      <c r="AN39" s="56">
        <f t="shared" si="27"/>
        <v>0</v>
      </c>
      <c r="AO39" s="1"/>
    </row>
    <row r="40" spans="1:41" x14ac:dyDescent="0.3">
      <c r="A40" s="18" t="s">
        <v>80</v>
      </c>
      <c r="B40" s="17" t="s">
        <v>41</v>
      </c>
      <c r="C40" s="6" t="s">
        <v>61</v>
      </c>
      <c r="D40" s="7">
        <f>D20-D19</f>
        <v>0</v>
      </c>
      <c r="E40" s="7">
        <f t="shared" ref="E40:AL40" si="28">E20-E19</f>
        <v>0</v>
      </c>
      <c r="F40" s="7">
        <f t="shared" si="28"/>
        <v>0</v>
      </c>
      <c r="G40" s="7">
        <f t="shared" si="28"/>
        <v>0</v>
      </c>
      <c r="H40" s="7">
        <f t="shared" si="28"/>
        <v>0</v>
      </c>
      <c r="I40" s="7">
        <f t="shared" si="28"/>
        <v>0</v>
      </c>
      <c r="J40" s="7">
        <f t="shared" si="28"/>
        <v>0</v>
      </c>
      <c r="K40" s="7">
        <f t="shared" si="28"/>
        <v>0</v>
      </c>
      <c r="L40" s="7">
        <f t="shared" si="28"/>
        <v>0</v>
      </c>
      <c r="M40" s="7">
        <f t="shared" si="28"/>
        <v>0</v>
      </c>
      <c r="N40" s="7">
        <f t="shared" si="28"/>
        <v>0</v>
      </c>
      <c r="O40" s="7">
        <f t="shared" si="28"/>
        <v>0</v>
      </c>
      <c r="P40" s="7">
        <f t="shared" si="28"/>
        <v>0</v>
      </c>
      <c r="Q40" s="7">
        <f t="shared" si="28"/>
        <v>-6.9900000000000091</v>
      </c>
      <c r="R40" s="7">
        <f t="shared" si="28"/>
        <v>-41.581999999999994</v>
      </c>
      <c r="S40" s="7">
        <f t="shared" si="28"/>
        <v>-47.360000000000014</v>
      </c>
      <c r="T40" s="7">
        <f t="shared" si="28"/>
        <v>114.38099999999997</v>
      </c>
      <c r="U40" s="7">
        <f t="shared" si="28"/>
        <v>33.527999999999963</v>
      </c>
      <c r="V40" s="7">
        <f t="shared" si="28"/>
        <v>-168.65263999999996</v>
      </c>
      <c r="W40" s="7">
        <f t="shared" si="28"/>
        <v>-86.827999999999975</v>
      </c>
      <c r="X40" s="7">
        <f t="shared" si="28"/>
        <v>-83.951999999999998</v>
      </c>
      <c r="Y40" s="7">
        <f t="shared" si="28"/>
        <v>31.237999999999943</v>
      </c>
      <c r="Z40" s="7">
        <f t="shared" si="28"/>
        <v>54.157000000000039</v>
      </c>
      <c r="AA40" s="7">
        <f t="shared" si="28"/>
        <v>-143.93899999999996</v>
      </c>
      <c r="AB40" s="7">
        <f t="shared" si="28"/>
        <v>-134.95200000000011</v>
      </c>
      <c r="AC40" s="7">
        <f t="shared" si="28"/>
        <v>37.795000000000073</v>
      </c>
      <c r="AD40" s="7">
        <f t="shared" si="28"/>
        <v>96.786000000000058</v>
      </c>
      <c r="AE40" s="7">
        <f t="shared" si="28"/>
        <v>-159.06400000000008</v>
      </c>
      <c r="AF40" s="7">
        <f t="shared" si="28"/>
        <v>-48.326000000000022</v>
      </c>
      <c r="AG40" s="7">
        <f t="shared" si="28"/>
        <v>89.203999999999951</v>
      </c>
      <c r="AH40" s="7">
        <f t="shared" si="28"/>
        <v>-24.501999999999953</v>
      </c>
      <c r="AI40" s="7">
        <f t="shared" si="28"/>
        <v>28.618999999999915</v>
      </c>
      <c r="AJ40" s="7">
        <f t="shared" si="28"/>
        <v>250.30400000000009</v>
      </c>
      <c r="AK40" s="7">
        <f t="shared" si="28"/>
        <v>311.59999999999997</v>
      </c>
      <c r="AL40" s="7">
        <f t="shared" si="28"/>
        <v>279.80000000000007</v>
      </c>
      <c r="AM40" s="7">
        <f t="shared" ref="AM40:AN40" si="29">AM20-AM19</f>
        <v>214.79999999999995</v>
      </c>
      <c r="AN40" s="7">
        <f t="shared" si="29"/>
        <v>100.19999999999993</v>
      </c>
      <c r="AO40" s="1"/>
    </row>
    <row r="41" spans="1:41" x14ac:dyDescent="0.3">
      <c r="A41" s="53" t="s">
        <v>96</v>
      </c>
      <c r="B41" s="49" t="s">
        <v>42</v>
      </c>
      <c r="C41" s="52" t="s">
        <v>98</v>
      </c>
      <c r="D41" s="29" t="e">
        <f t="shared" ref="D41:U41" si="30">D20/D19</f>
        <v>#DIV/0!</v>
      </c>
      <c r="E41" s="29" t="e">
        <f t="shared" si="30"/>
        <v>#DIV/0!</v>
      </c>
      <c r="F41" s="29" t="e">
        <f t="shared" si="30"/>
        <v>#DIV/0!</v>
      </c>
      <c r="G41" s="29" t="e">
        <f t="shared" si="30"/>
        <v>#DIV/0!</v>
      </c>
      <c r="H41" s="29" t="e">
        <f t="shared" si="30"/>
        <v>#DIV/0!</v>
      </c>
      <c r="I41" s="29" t="e">
        <f t="shared" si="30"/>
        <v>#DIV/0!</v>
      </c>
      <c r="J41" s="29" t="e">
        <f t="shared" si="30"/>
        <v>#DIV/0!</v>
      </c>
      <c r="K41" s="29" t="e">
        <f t="shared" si="30"/>
        <v>#DIV/0!</v>
      </c>
      <c r="L41" s="29" t="e">
        <f t="shared" si="30"/>
        <v>#DIV/0!</v>
      </c>
      <c r="M41" s="29" t="e">
        <f t="shared" si="30"/>
        <v>#DIV/0!</v>
      </c>
      <c r="N41" s="29" t="e">
        <f t="shared" si="30"/>
        <v>#DIV/0!</v>
      </c>
      <c r="O41" s="29" t="e">
        <f t="shared" si="30"/>
        <v>#DIV/0!</v>
      </c>
      <c r="P41" s="29" t="e">
        <f t="shared" si="30"/>
        <v>#DIV/0!</v>
      </c>
      <c r="Q41" s="29">
        <f t="shared" si="30"/>
        <v>0.98597990252121059</v>
      </c>
      <c r="R41" s="29">
        <f t="shared" si="30"/>
        <v>0.92233035097222482</v>
      </c>
      <c r="S41" s="29">
        <f t="shared" si="30"/>
        <v>0.91574437954879828</v>
      </c>
      <c r="T41" s="29">
        <f t="shared" si="30"/>
        <v>1.2623561847441143</v>
      </c>
      <c r="U41" s="29">
        <f t="shared" si="30"/>
        <v>1.0840433451898419</v>
      </c>
      <c r="V41" s="29">
        <f>V20/V19</f>
        <v>0.66792555663193387</v>
      </c>
      <c r="W41" s="29">
        <f t="shared" ref="W41:AL41" si="31">W20/W19</f>
        <v>0.84829641846902182</v>
      </c>
      <c r="X41" s="29">
        <f t="shared" si="31"/>
        <v>0.86911560425991663</v>
      </c>
      <c r="Y41" s="29">
        <f t="shared" si="31"/>
        <v>1.0468640061689221</v>
      </c>
      <c r="Z41" s="29">
        <f t="shared" si="31"/>
        <v>1.075129673842022</v>
      </c>
      <c r="AA41" s="29">
        <f t="shared" si="31"/>
        <v>0.8612006028761009</v>
      </c>
      <c r="AB41" s="29">
        <f t="shared" si="31"/>
        <v>0.8818877376870119</v>
      </c>
      <c r="AC41" s="29">
        <f t="shared" si="31"/>
        <v>1.0356715106429366</v>
      </c>
      <c r="AD41" s="29">
        <f t="shared" si="31"/>
        <v>1.0784275910576373</v>
      </c>
      <c r="AE41" s="29">
        <f t="shared" si="31"/>
        <v>0.89750324281377647</v>
      </c>
      <c r="AF41" s="29">
        <f t="shared" si="31"/>
        <v>0.96385454757600486</v>
      </c>
      <c r="AG41" s="29">
        <f t="shared" si="31"/>
        <v>1.0682123879459127</v>
      </c>
      <c r="AH41" s="29">
        <f t="shared" si="31"/>
        <v>0.98171267357547765</v>
      </c>
      <c r="AI41" s="29">
        <f t="shared" si="31"/>
        <v>1.0261760902054831</v>
      </c>
      <c r="AJ41" s="29">
        <f t="shared" si="31"/>
        <v>1.2341414498577683</v>
      </c>
      <c r="AK41" s="29">
        <f t="shared" si="31"/>
        <v>1.6229508196721312</v>
      </c>
      <c r="AL41" s="29">
        <f t="shared" si="31"/>
        <v>1.5089123317570028</v>
      </c>
      <c r="AM41" s="29">
        <f t="shared" ref="AM41:AN41" si="32">AM20/AM19</f>
        <v>1.4804294341310666</v>
      </c>
      <c r="AN41" s="29">
        <f t="shared" si="32"/>
        <v>1.1756046267087275</v>
      </c>
      <c r="AO41" s="1"/>
    </row>
    <row r="42" spans="1:41" x14ac:dyDescent="0.3">
      <c r="A42" s="16" t="s">
        <v>81</v>
      </c>
      <c r="B42" s="17" t="s">
        <v>43</v>
      </c>
      <c r="C42" s="1" t="s">
        <v>60</v>
      </c>
      <c r="D42" s="30" t="e">
        <f t="shared" ref="D42:U42" si="33">(D20-D21)/D19</f>
        <v>#DIV/0!</v>
      </c>
      <c r="E42" s="30" t="e">
        <f t="shared" si="33"/>
        <v>#DIV/0!</v>
      </c>
      <c r="F42" s="30" t="e">
        <f t="shared" si="33"/>
        <v>#DIV/0!</v>
      </c>
      <c r="G42" s="30" t="e">
        <f t="shared" si="33"/>
        <v>#DIV/0!</v>
      </c>
      <c r="H42" s="30" t="e">
        <f t="shared" si="33"/>
        <v>#DIV/0!</v>
      </c>
      <c r="I42" s="30" t="e">
        <f t="shared" si="33"/>
        <v>#DIV/0!</v>
      </c>
      <c r="J42" s="30" t="e">
        <f t="shared" si="33"/>
        <v>#DIV/0!</v>
      </c>
      <c r="K42" s="30" t="e">
        <f t="shared" si="33"/>
        <v>#DIV/0!</v>
      </c>
      <c r="L42" s="30" t="e">
        <f t="shared" si="33"/>
        <v>#DIV/0!</v>
      </c>
      <c r="M42" s="30" t="e">
        <f t="shared" si="33"/>
        <v>#DIV/0!</v>
      </c>
      <c r="N42" s="30" t="e">
        <f t="shared" si="33"/>
        <v>#DIV/0!</v>
      </c>
      <c r="O42" s="30" t="e">
        <f t="shared" si="33"/>
        <v>#DIV/0!</v>
      </c>
      <c r="P42" s="30" t="e">
        <f t="shared" si="33"/>
        <v>#DIV/0!</v>
      </c>
      <c r="Q42" s="30">
        <f t="shared" si="33"/>
        <v>0.78679022002928367</v>
      </c>
      <c r="R42" s="30">
        <f t="shared" si="33"/>
        <v>0.7600687375086389</v>
      </c>
      <c r="S42" s="30">
        <f t="shared" si="33"/>
        <v>0.77943387196917269</v>
      </c>
      <c r="T42" s="30">
        <f t="shared" si="33"/>
        <v>0.9306819641448153</v>
      </c>
      <c r="U42" s="30">
        <f t="shared" si="33"/>
        <v>0.86065719649969785</v>
      </c>
      <c r="V42" s="30">
        <f t="shared" ref="V42" si="34">(V20-V21)/V19</f>
        <v>0.25175704305775432</v>
      </c>
      <c r="W42" s="30">
        <f t="shared" ref="W42:AL42" si="35">(W20-W21)/W19</f>
        <v>0.59043632164066584</v>
      </c>
      <c r="X42" s="30">
        <f t="shared" si="35"/>
        <v>0.59307693387026617</v>
      </c>
      <c r="Y42" s="30">
        <f t="shared" si="35"/>
        <v>0.71307310442911198</v>
      </c>
      <c r="Z42" s="30">
        <f t="shared" si="35"/>
        <v>0.67550256850621571</v>
      </c>
      <c r="AA42" s="30">
        <f t="shared" si="35"/>
        <v>0.50854219120198185</v>
      </c>
      <c r="AB42" s="30">
        <f t="shared" si="35"/>
        <v>0.53899703651579667</v>
      </c>
      <c r="AC42" s="30">
        <f t="shared" si="35"/>
        <v>0.75390196964877798</v>
      </c>
      <c r="AD42" s="30">
        <f t="shared" si="35"/>
        <v>0.82837755382345246</v>
      </c>
      <c r="AE42" s="30">
        <f t="shared" si="35"/>
        <v>0.69544356473030022</v>
      </c>
      <c r="AF42" s="30">
        <f t="shared" si="35"/>
        <v>0.74702820595862185</v>
      </c>
      <c r="AG42" s="30">
        <f t="shared" si="35"/>
        <v>0.79608545741925574</v>
      </c>
      <c r="AH42" s="30">
        <f t="shared" si="35"/>
        <v>0.77719644583101655</v>
      </c>
      <c r="AI42" s="30">
        <f t="shared" si="35"/>
        <v>0.79619710863914328</v>
      </c>
      <c r="AJ42" s="30">
        <f t="shared" si="35"/>
        <v>1.0086499056620541</v>
      </c>
      <c r="AK42" s="30">
        <f t="shared" si="35"/>
        <v>1.2379048380647739</v>
      </c>
      <c r="AL42" s="30">
        <f t="shared" si="35"/>
        <v>1.1413241178610405</v>
      </c>
      <c r="AM42" s="30">
        <f t="shared" ref="AM42:AN42" si="36">(AM20-AM21)/AM19</f>
        <v>1.0970700067099082</v>
      </c>
      <c r="AN42" s="30">
        <f t="shared" si="36"/>
        <v>0.86522958289519791</v>
      </c>
      <c r="AO42" s="1"/>
    </row>
    <row r="43" spans="1:41" x14ac:dyDescent="0.3">
      <c r="A43" s="18" t="s">
        <v>82</v>
      </c>
      <c r="B43" s="49" t="s">
        <v>44</v>
      </c>
      <c r="C43" s="6" t="s">
        <v>62</v>
      </c>
      <c r="D43" s="29" t="e">
        <f t="shared" ref="D43:U43" si="37">D14/D19</f>
        <v>#DIV/0!</v>
      </c>
      <c r="E43" s="29" t="e">
        <f t="shared" si="37"/>
        <v>#DIV/0!</v>
      </c>
      <c r="F43" s="29" t="e">
        <f t="shared" si="37"/>
        <v>#DIV/0!</v>
      </c>
      <c r="G43" s="29" t="e">
        <f t="shared" si="37"/>
        <v>#DIV/0!</v>
      </c>
      <c r="H43" s="29" t="e">
        <f t="shared" si="37"/>
        <v>#DIV/0!</v>
      </c>
      <c r="I43" s="29" t="e">
        <f t="shared" si="37"/>
        <v>#DIV/0!</v>
      </c>
      <c r="J43" s="29" t="e">
        <f t="shared" si="37"/>
        <v>#DIV/0!</v>
      </c>
      <c r="K43" s="29" t="e">
        <f t="shared" si="37"/>
        <v>#DIV/0!</v>
      </c>
      <c r="L43" s="29" t="e">
        <f t="shared" si="37"/>
        <v>#DIV/0!</v>
      </c>
      <c r="M43" s="29" t="e">
        <f t="shared" si="37"/>
        <v>#DIV/0!</v>
      </c>
      <c r="N43" s="29" t="e">
        <f t="shared" si="37"/>
        <v>#DIV/0!</v>
      </c>
      <c r="O43" s="29" t="e">
        <f t="shared" si="37"/>
        <v>#DIV/0!</v>
      </c>
      <c r="P43" s="29" t="e">
        <f t="shared" si="37"/>
        <v>#DIV/0!</v>
      </c>
      <c r="Q43" s="29">
        <f t="shared" si="37"/>
        <v>0.10433840784644083</v>
      </c>
      <c r="R43" s="29">
        <f t="shared" si="37"/>
        <v>4.6864785101892147E-2</v>
      </c>
      <c r="S43" s="29">
        <f t="shared" si="37"/>
        <v>9.2720321509200329E-2</v>
      </c>
      <c r="T43" s="29">
        <f t="shared" si="37"/>
        <v>0.11787575462869515</v>
      </c>
      <c r="U43" s="29">
        <f t="shared" si="37"/>
        <v>0.1001060317794539</v>
      </c>
      <c r="V43" s="29">
        <f t="shared" ref="V43" si="38">V14/V19</f>
        <v>0.1025900022840221</v>
      </c>
      <c r="W43" s="29">
        <f t="shared" ref="W43:AL43" si="39">W14/W19</f>
        <v>0.10314264099253434</v>
      </c>
      <c r="X43" s="29">
        <f t="shared" si="39"/>
        <v>0.11872545488844301</v>
      </c>
      <c r="Y43" s="29">
        <f t="shared" si="39"/>
        <v>0.15409403705854025</v>
      </c>
      <c r="Z43" s="29">
        <f t="shared" si="39"/>
        <v>0.159018487973176</v>
      </c>
      <c r="AA43" s="29">
        <f t="shared" si="39"/>
        <v>0.10171171683723405</v>
      </c>
      <c r="AB43" s="29">
        <f t="shared" si="39"/>
        <v>0.11557325827473755</v>
      </c>
      <c r="AC43" s="29">
        <f t="shared" si="39"/>
        <v>0.13009271100649439</v>
      </c>
      <c r="AD43" s="29">
        <f t="shared" si="39"/>
        <v>0.23636454981480146</v>
      </c>
      <c r="AE43" s="29">
        <f t="shared" si="39"/>
        <v>0.15855667884319344</v>
      </c>
      <c r="AF43" s="29">
        <f t="shared" si="39"/>
        <v>0.13944862590286966</v>
      </c>
      <c r="AG43" s="29">
        <f t="shared" si="39"/>
        <v>0.14941819430329753</v>
      </c>
      <c r="AH43" s="29">
        <f t="shared" si="39"/>
        <v>0.18860531334082181</v>
      </c>
      <c r="AI43" s="29">
        <f t="shared" si="39"/>
        <v>0.16545842685530207</v>
      </c>
      <c r="AJ43" s="29">
        <f t="shared" si="39"/>
        <v>0.14433658955931036</v>
      </c>
      <c r="AK43" s="29">
        <f t="shared" si="39"/>
        <v>0.37325069972011193</v>
      </c>
      <c r="AL43" s="29">
        <f t="shared" si="39"/>
        <v>0.24627137140778468</v>
      </c>
      <c r="AM43" s="29">
        <f t="shared" ref="AM43:AN43" si="40">AM14/AM19</f>
        <v>0.25989711473943189</v>
      </c>
      <c r="AN43" s="29">
        <f t="shared" si="40"/>
        <v>0.19295478443743427</v>
      </c>
      <c r="AO43" s="1"/>
    </row>
    <row r="44" spans="1:41" x14ac:dyDescent="0.3">
      <c r="A44" s="16" t="s">
        <v>83</v>
      </c>
      <c r="B44" s="17" t="s">
        <v>45</v>
      </c>
      <c r="C44" s="1" t="s">
        <v>63</v>
      </c>
      <c r="D44" s="30" t="e">
        <f>D29/D7</f>
        <v>#DIV/0!</v>
      </c>
      <c r="E44" s="30" t="e">
        <f t="shared" ref="E44:AL44" si="41">E29/E7</f>
        <v>#DIV/0!</v>
      </c>
      <c r="F44" s="30" t="e">
        <f t="shared" si="41"/>
        <v>#DIV/0!</v>
      </c>
      <c r="G44" s="30" t="e">
        <f t="shared" si="41"/>
        <v>#DIV/0!</v>
      </c>
      <c r="H44" s="30" t="e">
        <f t="shared" si="41"/>
        <v>#DIV/0!</v>
      </c>
      <c r="I44" s="30" t="e">
        <f t="shared" si="41"/>
        <v>#DIV/0!</v>
      </c>
      <c r="J44" s="30" t="e">
        <f t="shared" si="41"/>
        <v>#DIV/0!</v>
      </c>
      <c r="K44" s="30" t="e">
        <f t="shared" si="41"/>
        <v>#DIV/0!</v>
      </c>
      <c r="L44" s="30" t="e">
        <f t="shared" si="41"/>
        <v>#DIV/0!</v>
      </c>
      <c r="M44" s="30" t="e">
        <f t="shared" si="41"/>
        <v>#DIV/0!</v>
      </c>
      <c r="N44" s="30" t="e">
        <f t="shared" si="41"/>
        <v>#DIV/0!</v>
      </c>
      <c r="O44" s="30" t="e">
        <f t="shared" si="41"/>
        <v>#DIV/0!</v>
      </c>
      <c r="P44" s="30" t="e">
        <f t="shared" si="41"/>
        <v>#DIV/0!</v>
      </c>
      <c r="Q44" s="30">
        <f t="shared" si="41"/>
        <v>4.7970479704797047</v>
      </c>
      <c r="R44" s="30">
        <f t="shared" si="41"/>
        <v>9.4009978991596643</v>
      </c>
      <c r="S44" s="30">
        <f t="shared" si="41"/>
        <v>8.7427247968089894</v>
      </c>
      <c r="T44" s="30">
        <f t="shared" si="41"/>
        <v>14.316152934606425</v>
      </c>
      <c r="U44" s="30">
        <f t="shared" si="41"/>
        <v>13.536309850875961</v>
      </c>
      <c r="V44" s="30">
        <f t="shared" si="41"/>
        <v>10.37824078883988</v>
      </c>
      <c r="W44" s="30">
        <f t="shared" si="41"/>
        <v>15.659678714859435</v>
      </c>
      <c r="X44" s="30">
        <f t="shared" si="41"/>
        <v>14.286822381986189</v>
      </c>
      <c r="Y44" s="30">
        <f t="shared" si="41"/>
        <v>11.126157485637041</v>
      </c>
      <c r="Z44" s="30">
        <f t="shared" si="41"/>
        <v>14.848735331079526</v>
      </c>
      <c r="AA44" s="30">
        <f t="shared" si="41"/>
        <v>9.9551778265170086</v>
      </c>
      <c r="AB44" s="30">
        <f t="shared" si="41"/>
        <v>9.5280355734060098</v>
      </c>
      <c r="AC44" s="30">
        <f t="shared" si="41"/>
        <v>7.4651266943311203</v>
      </c>
      <c r="AD44" s="30">
        <f t="shared" si="41"/>
        <v>8.1988606710364529</v>
      </c>
      <c r="AE44" s="30">
        <f t="shared" si="41"/>
        <v>4.8526986616991019</v>
      </c>
      <c r="AF44" s="30">
        <f t="shared" si="41"/>
        <v>6.6487187749079988</v>
      </c>
      <c r="AG44" s="30">
        <f t="shared" si="41"/>
        <v>5.4294429046969634</v>
      </c>
      <c r="AH44" s="30">
        <f t="shared" si="41"/>
        <v>6.5728119624978874</v>
      </c>
      <c r="AI44" s="30">
        <f t="shared" si="41"/>
        <v>5.0260870901560608</v>
      </c>
      <c r="AJ44" s="30">
        <f t="shared" si="41"/>
        <v>4.5423907319641907</v>
      </c>
      <c r="AK44" s="30">
        <f t="shared" si="41"/>
        <v>5.2919937205651495</v>
      </c>
      <c r="AL44" s="30">
        <f t="shared" si="41"/>
        <v>3.8150903294367695</v>
      </c>
      <c r="AM44" s="30">
        <f t="shared" ref="AM44" si="42">AM29/AM7</f>
        <v>7.0263424518743669</v>
      </c>
      <c r="AN44" s="30"/>
      <c r="AO44" s="1"/>
    </row>
    <row r="45" spans="1:41" x14ac:dyDescent="0.3">
      <c r="A45" s="18" t="s">
        <v>84</v>
      </c>
      <c r="B45" s="54" t="s">
        <v>99</v>
      </c>
      <c r="C45" s="6" t="s">
        <v>64</v>
      </c>
      <c r="D45" s="29" t="e">
        <f>D18/D23</f>
        <v>#DIV/0!</v>
      </c>
      <c r="E45" s="29" t="e">
        <f t="shared" ref="E45:AL45" si="43">E18/E23</f>
        <v>#DIV/0!</v>
      </c>
      <c r="F45" s="29" t="e">
        <f t="shared" si="43"/>
        <v>#DIV/0!</v>
      </c>
      <c r="G45" s="29" t="e">
        <f t="shared" si="43"/>
        <v>#DIV/0!</v>
      </c>
      <c r="H45" s="29" t="e">
        <f t="shared" si="43"/>
        <v>#DIV/0!</v>
      </c>
      <c r="I45" s="29" t="e">
        <f t="shared" si="43"/>
        <v>#DIV/0!</v>
      </c>
      <c r="J45" s="29" t="e">
        <f t="shared" si="43"/>
        <v>#DIV/0!</v>
      </c>
      <c r="K45" s="29" t="e">
        <f t="shared" si="43"/>
        <v>#DIV/0!</v>
      </c>
      <c r="L45" s="29" t="e">
        <f t="shared" si="43"/>
        <v>#DIV/0!</v>
      </c>
      <c r="M45" s="29" t="e">
        <f t="shared" si="43"/>
        <v>#DIV/0!</v>
      </c>
      <c r="N45" s="29" t="e">
        <f t="shared" si="43"/>
        <v>#DIV/0!</v>
      </c>
      <c r="O45" s="29" t="e">
        <f t="shared" si="43"/>
        <v>#DIV/0!</v>
      </c>
      <c r="P45" s="29" t="e">
        <f t="shared" si="43"/>
        <v>#DIV/0!</v>
      </c>
      <c r="Q45" s="29">
        <f t="shared" si="43"/>
        <v>3.0541453268624337</v>
      </c>
      <c r="R45" s="29">
        <f t="shared" si="43"/>
        <v>3.892063492063492</v>
      </c>
      <c r="S45" s="29">
        <f t="shared" si="43"/>
        <v>2.7430269565279026</v>
      </c>
      <c r="T45" s="29">
        <f t="shared" si="43"/>
        <v>5.3785989228033086</v>
      </c>
      <c r="U45" s="29">
        <f t="shared" si="43"/>
        <v>5.7640353042108847</v>
      </c>
      <c r="V45" s="29">
        <f t="shared" si="43"/>
        <v>6.5694635141773841</v>
      </c>
      <c r="W45" s="29">
        <f t="shared" si="43"/>
        <v>4.4062675468962098</v>
      </c>
      <c r="X45" s="29">
        <f t="shared" si="43"/>
        <v>3.4024538163533853</v>
      </c>
      <c r="Y45" s="29">
        <f t="shared" si="43"/>
        <v>2.4925460458913191</v>
      </c>
      <c r="Z45" s="29">
        <f t="shared" si="43"/>
        <v>2.862137981866884</v>
      </c>
      <c r="AA45" s="29">
        <f t="shared" si="43"/>
        <v>8.3766212691631363</v>
      </c>
      <c r="AB45" s="29">
        <f t="shared" si="43"/>
        <v>5.865994112380811</v>
      </c>
      <c r="AC45" s="29">
        <f t="shared" si="43"/>
        <v>3.8420337149425454</v>
      </c>
      <c r="AD45" s="29">
        <f t="shared" si="43"/>
        <v>3.7098370364135382</v>
      </c>
      <c r="AE45" s="29">
        <f t="shared" si="43"/>
        <v>7.4926596045024363</v>
      </c>
      <c r="AF45" s="29">
        <f t="shared" si="43"/>
        <v>6.7166064181322209</v>
      </c>
      <c r="AG45" s="29">
        <f t="shared" si="43"/>
        <v>5.4540091763163652</v>
      </c>
      <c r="AH45" s="29">
        <f t="shared" si="43"/>
        <v>5.1162641590083355</v>
      </c>
      <c r="AI45" s="29">
        <f t="shared" si="43"/>
        <v>5.4173825164224354</v>
      </c>
      <c r="AJ45" s="29">
        <f t="shared" si="43"/>
        <v>5.2415669205658322</v>
      </c>
      <c r="AK45" s="29">
        <f t="shared" si="43"/>
        <v>4.0535908596300319</v>
      </c>
      <c r="AL45" s="29">
        <f t="shared" si="43"/>
        <v>5.1687229076358783</v>
      </c>
      <c r="AM45" s="29">
        <f t="shared" ref="AM45:AN45" si="44">AM18/AM23</f>
        <v>6.6321564885496178</v>
      </c>
      <c r="AN45" s="29">
        <f t="shared" si="44"/>
        <v>6.8634633682207431</v>
      </c>
      <c r="AO45" s="1"/>
    </row>
    <row r="46" spans="1:41" x14ac:dyDescent="0.3">
      <c r="A46" s="18" t="s">
        <v>97</v>
      </c>
      <c r="B46" s="17" t="s">
        <v>100</v>
      </c>
      <c r="C46" s="6" t="s">
        <v>111</v>
      </c>
      <c r="D46" s="28" t="e">
        <f t="shared" ref="D46:AN46" si="45">D13/D4</f>
        <v>#DIV/0!</v>
      </c>
      <c r="E46" s="28" t="e">
        <f t="shared" si="45"/>
        <v>#DIV/0!</v>
      </c>
      <c r="F46" s="28" t="e">
        <f t="shared" si="45"/>
        <v>#DIV/0!</v>
      </c>
      <c r="G46" s="28" t="e">
        <f t="shared" si="45"/>
        <v>#DIV/0!</v>
      </c>
      <c r="H46" s="28" t="e">
        <f t="shared" si="45"/>
        <v>#DIV/0!</v>
      </c>
      <c r="I46" s="28" t="e">
        <f t="shared" si="45"/>
        <v>#DIV/0!</v>
      </c>
      <c r="J46" s="28" t="e">
        <f t="shared" si="45"/>
        <v>#DIV/0!</v>
      </c>
      <c r="K46" s="28" t="e">
        <f t="shared" si="45"/>
        <v>#DIV/0!</v>
      </c>
      <c r="L46" s="28" t="e">
        <f t="shared" si="45"/>
        <v>#DIV/0!</v>
      </c>
      <c r="M46" s="28" t="e">
        <f t="shared" si="45"/>
        <v>#DIV/0!</v>
      </c>
      <c r="N46" s="28" t="e">
        <f t="shared" si="45"/>
        <v>#DIV/0!</v>
      </c>
      <c r="O46" s="28" t="e">
        <f t="shared" si="45"/>
        <v>#DIV/0!</v>
      </c>
      <c r="P46" s="28" t="e">
        <f t="shared" si="45"/>
        <v>#DIV/0!</v>
      </c>
      <c r="Q46" s="28">
        <f t="shared" si="45"/>
        <v>1.3876651982378856E-2</v>
      </c>
      <c r="R46" s="28">
        <f t="shared" si="45"/>
        <v>1.9626168224299068E-2</v>
      </c>
      <c r="S46" s="28">
        <f t="shared" si="45"/>
        <v>8.5334419551934826E-3</v>
      </c>
      <c r="T46" s="28">
        <f t="shared" si="45"/>
        <v>8.3333333333333332E-3</v>
      </c>
      <c r="U46" s="28">
        <f t="shared" si="45"/>
        <v>1.6153846153846154E-2</v>
      </c>
      <c r="V46" s="28">
        <f t="shared" si="45"/>
        <v>0.02</v>
      </c>
      <c r="W46" s="28">
        <f t="shared" si="45"/>
        <v>9.9056603773584918E-3</v>
      </c>
      <c r="X46" s="28">
        <f t="shared" si="45"/>
        <v>8.7155635062611814E-3</v>
      </c>
      <c r="Y46" s="28">
        <f t="shared" si="45"/>
        <v>7.5358851674641146E-3</v>
      </c>
      <c r="Z46" s="28">
        <f t="shared" si="45"/>
        <v>4.018007878446821E-3</v>
      </c>
      <c r="AA46" s="28">
        <f t="shared" si="45"/>
        <v>0.03</v>
      </c>
      <c r="AB46" s="28">
        <f t="shared" si="45"/>
        <v>0</v>
      </c>
      <c r="AC46" s="28">
        <f t="shared" si="45"/>
        <v>1.3287671232876714E-2</v>
      </c>
      <c r="AD46" s="28">
        <f t="shared" si="45"/>
        <v>7.1428571428571425E-2</v>
      </c>
      <c r="AE46" s="28">
        <f t="shared" si="45"/>
        <v>0</v>
      </c>
      <c r="AF46" s="28">
        <f t="shared" si="45"/>
        <v>1.6853932584269662E-2</v>
      </c>
      <c r="AG46" s="28">
        <f t="shared" si="45"/>
        <v>2.1097046413502109E-2</v>
      </c>
      <c r="AH46" s="28">
        <f t="shared" si="45"/>
        <v>4.2993630573248405E-2</v>
      </c>
      <c r="AI46" s="28">
        <f t="shared" si="45"/>
        <v>2.1505376344086023E-2</v>
      </c>
      <c r="AJ46" s="28">
        <f t="shared" si="45"/>
        <v>8.9686098654708519E-3</v>
      </c>
      <c r="AK46" s="28">
        <f t="shared" si="45"/>
        <v>2.222222222222222E-2</v>
      </c>
      <c r="AL46" s="28">
        <f t="shared" si="45"/>
        <v>0</v>
      </c>
      <c r="AM46" s="28">
        <f t="shared" si="45"/>
        <v>0</v>
      </c>
      <c r="AN46" s="28">
        <f t="shared" si="45"/>
        <v>0</v>
      </c>
      <c r="AO46" s="1"/>
    </row>
  </sheetData>
  <mergeCells count="2">
    <mergeCell ref="A6:A13"/>
    <mergeCell ref="A14:A2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DF0C2-B4E1-4BF1-9CF7-D2CAED9A5402}">
  <sheetPr codeName="Planilha42"/>
  <dimension ref="A3:AH46"/>
  <sheetViews>
    <sheetView workbookViewId="0">
      <pane xSplit="3" ySplit="3" topLeftCell="O25" activePane="bottomRight" state="frozen"/>
      <selection activeCell="C22" sqref="C22"/>
      <selection pane="topRight" activeCell="C22" sqref="C22"/>
      <selection pane="bottomLeft" activeCell="C22" sqref="C22"/>
      <selection pane="bottomRight" activeCell="AG42" sqref="AG42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1" width="8.33203125" customWidth="1"/>
  </cols>
  <sheetData>
    <row r="3" spans="1:34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8" t="s">
        <v>94</v>
      </c>
      <c r="AG3" s="8" t="s">
        <v>116</v>
      </c>
      <c r="AH3" s="8" t="s">
        <v>117</v>
      </c>
    </row>
    <row r="4" spans="1:34" x14ac:dyDescent="0.3">
      <c r="A4" s="4" t="s">
        <v>5</v>
      </c>
      <c r="B4" s="11">
        <v>1</v>
      </c>
      <c r="C4" s="6" t="s">
        <v>4</v>
      </c>
      <c r="D4" s="19">
        <v>1.23</v>
      </c>
      <c r="E4" s="19">
        <v>1.29</v>
      </c>
      <c r="F4" s="19">
        <v>2.58</v>
      </c>
      <c r="G4" s="19">
        <v>4</v>
      </c>
      <c r="H4" s="19">
        <v>5.96</v>
      </c>
      <c r="I4" s="19">
        <v>4.1500000000000004</v>
      </c>
      <c r="J4" s="19">
        <v>3.25</v>
      </c>
      <c r="K4" s="19">
        <v>1.48</v>
      </c>
      <c r="L4" s="19">
        <v>1.59</v>
      </c>
      <c r="M4" s="19">
        <v>1.37</v>
      </c>
      <c r="N4" s="19">
        <v>1.0900000000000001</v>
      </c>
      <c r="O4" s="19">
        <v>0.39800000000000002</v>
      </c>
      <c r="P4" s="19">
        <v>1.357</v>
      </c>
      <c r="Q4" s="19">
        <v>1.4470000000000001</v>
      </c>
      <c r="R4" s="19">
        <v>0.63300000000000001</v>
      </c>
      <c r="S4" s="19">
        <v>0.995</v>
      </c>
      <c r="T4" s="19">
        <v>0.8</v>
      </c>
      <c r="U4" s="19">
        <v>0.7</v>
      </c>
      <c r="V4" s="19">
        <v>0.8</v>
      </c>
      <c r="W4" s="19">
        <v>0.8</v>
      </c>
      <c r="X4" s="19">
        <v>1.1000000000000001</v>
      </c>
      <c r="Y4" s="19">
        <v>0.8</v>
      </c>
      <c r="Z4" s="19">
        <v>0.9</v>
      </c>
      <c r="AA4" s="19">
        <v>1.5</v>
      </c>
      <c r="AB4" s="19">
        <v>1.61</v>
      </c>
      <c r="AC4" s="19">
        <v>1.42</v>
      </c>
      <c r="AD4" s="19">
        <v>0.93</v>
      </c>
      <c r="AE4" s="19">
        <v>1.1000000000000001</v>
      </c>
      <c r="AF4" s="19">
        <v>0.92500000000000004</v>
      </c>
      <c r="AG4" s="19">
        <v>0.92500000000000004</v>
      </c>
      <c r="AH4" s="19">
        <v>0.92500000000000004</v>
      </c>
    </row>
    <row r="5" spans="1:34" x14ac:dyDescent="0.3">
      <c r="A5" s="5" t="s">
        <v>8</v>
      </c>
      <c r="B5" s="12">
        <v>3</v>
      </c>
      <c r="C5" s="1" t="s">
        <v>86</v>
      </c>
      <c r="D5" s="3"/>
      <c r="E5" s="3"/>
      <c r="F5" s="3"/>
      <c r="G5" s="3"/>
      <c r="H5" s="3">
        <v>3.0750000000000002</v>
      </c>
      <c r="I5" s="3">
        <v>3.0750000000000002</v>
      </c>
      <c r="J5" s="3">
        <v>3.0750000000000002</v>
      </c>
      <c r="K5" s="3">
        <v>5.3949999999999996</v>
      </c>
      <c r="L5" s="3">
        <v>5.3949999999999996</v>
      </c>
      <c r="M5" s="3">
        <v>5.3949999999999996</v>
      </c>
      <c r="N5" s="3">
        <v>5.3949999999999996</v>
      </c>
      <c r="O5" s="3">
        <v>5.3949999999999996</v>
      </c>
      <c r="P5" s="3">
        <v>8.5950000000000006</v>
      </c>
      <c r="Q5" s="3">
        <v>14.5</v>
      </c>
      <c r="R5" s="3">
        <v>14.5</v>
      </c>
      <c r="S5" s="3">
        <v>14.5</v>
      </c>
      <c r="T5" s="3">
        <v>115.63500000000001</v>
      </c>
      <c r="U5" s="3">
        <v>115.63500000000001</v>
      </c>
      <c r="V5" s="3">
        <v>115.63500000000001</v>
      </c>
      <c r="W5" s="3">
        <v>115.63500000000001</v>
      </c>
      <c r="X5" s="3">
        <v>115.63500000000001</v>
      </c>
      <c r="Y5" s="3">
        <v>115.63500000000001</v>
      </c>
      <c r="Z5" s="3">
        <v>115.63500000000001</v>
      </c>
      <c r="AA5" s="3">
        <v>115.63500000000001</v>
      </c>
      <c r="AB5" s="3">
        <v>152.41</v>
      </c>
      <c r="AC5" s="3">
        <v>152.4091463</v>
      </c>
      <c r="AD5" s="3">
        <v>167.65</v>
      </c>
      <c r="AE5" s="3">
        <v>167.7</v>
      </c>
      <c r="AF5" s="3">
        <v>167.7</v>
      </c>
      <c r="AG5" s="3">
        <v>167.7</v>
      </c>
      <c r="AH5" s="3">
        <v>167.7</v>
      </c>
    </row>
    <row r="6" spans="1:34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>
        <f>(16604647*5)/1000000</f>
        <v>83.023235</v>
      </c>
      <c r="I6" s="7">
        <f>(17083122*5)/1000000</f>
        <v>85.415610000000001</v>
      </c>
      <c r="J6" s="7">
        <v>88.739000000000004</v>
      </c>
      <c r="K6" s="7">
        <v>124.885819</v>
      </c>
      <c r="L6" s="7">
        <f>141.319014</f>
        <v>141.31901400000001</v>
      </c>
      <c r="M6" s="7">
        <v>136.17688200000001</v>
      </c>
      <c r="N6" s="7">
        <v>94.24</v>
      </c>
      <c r="O6" s="7">
        <v>79.590999999999994</v>
      </c>
      <c r="P6" s="7">
        <v>75.960999999999999</v>
      </c>
      <c r="Q6" s="7">
        <v>68.323999999999998</v>
      </c>
      <c r="R6" s="7">
        <v>59.707000000000001</v>
      </c>
      <c r="S6" s="7">
        <v>54.362000000000002</v>
      </c>
      <c r="T6" s="7">
        <v>50.777000000000001</v>
      </c>
      <c r="U6" s="7">
        <v>53.9</v>
      </c>
      <c r="V6" s="7">
        <v>54.235999999999997</v>
      </c>
      <c r="W6" s="7">
        <v>54.171999999999997</v>
      </c>
      <c r="X6" s="7">
        <v>65.17</v>
      </c>
      <c r="Y6" s="7">
        <v>71.831000000000003</v>
      </c>
      <c r="Z6" s="7">
        <v>75.438999999999993</v>
      </c>
      <c r="AA6" s="7">
        <v>84.980999999999995</v>
      </c>
      <c r="AB6" s="7">
        <v>99</v>
      </c>
      <c r="AC6" s="7">
        <v>120.1</v>
      </c>
      <c r="AD6" s="7">
        <v>110.4</v>
      </c>
      <c r="AE6" s="7">
        <v>114</v>
      </c>
      <c r="AF6" s="3">
        <v>131</v>
      </c>
      <c r="AG6" s="1">
        <v>139</v>
      </c>
      <c r="AH6" s="7">
        <v>145</v>
      </c>
    </row>
    <row r="7" spans="1:34" x14ac:dyDescent="0.3">
      <c r="A7" s="101"/>
      <c r="B7" s="13">
        <v>5</v>
      </c>
      <c r="C7" s="1" t="s">
        <v>9</v>
      </c>
      <c r="D7" s="3"/>
      <c r="E7" s="3"/>
      <c r="F7" s="3"/>
      <c r="G7" s="3"/>
      <c r="H7" s="3">
        <f>H8+(322*5/1000000)</f>
        <v>7.4306150000000004</v>
      </c>
      <c r="I7" s="3">
        <f>I8+(40650*5/1000000)</f>
        <v>6.6066750000000001</v>
      </c>
      <c r="J7" s="3">
        <f>J8+0.046</f>
        <v>4.4640000000000004</v>
      </c>
      <c r="K7" s="35">
        <f>K8+0.015105</f>
        <v>-0.19633</v>
      </c>
      <c r="L7" s="35">
        <f>L8+0.239159</f>
        <v>0.58823999999999999</v>
      </c>
      <c r="M7" s="35">
        <f>M8+0.239159</f>
        <v>-13.125231999999999</v>
      </c>
      <c r="N7" s="35">
        <f>N8+11.63</f>
        <v>-3.4619999999999997</v>
      </c>
      <c r="O7" s="3">
        <f>O8+10.229</f>
        <v>-3.0140000000000011</v>
      </c>
      <c r="P7" s="3">
        <f>P8+9.07</f>
        <v>-2.3989999999999991</v>
      </c>
      <c r="Q7" s="3">
        <f>Q8+7.671</f>
        <v>0.59400000000000031</v>
      </c>
      <c r="R7" s="3">
        <f>R8+11.421</f>
        <v>-0.64300000000000068</v>
      </c>
      <c r="S7" s="3">
        <f>S8+12.294</f>
        <v>-6.3990000000000009</v>
      </c>
      <c r="T7" s="3">
        <f>T8+2.213</f>
        <v>0.17900000000000027</v>
      </c>
      <c r="U7" s="3">
        <f>U8+1.639</f>
        <v>4.3760000000000003</v>
      </c>
      <c r="V7" s="3">
        <f>V8+3.561</f>
        <v>1.8080000000000001</v>
      </c>
      <c r="W7" s="3">
        <f>W8+3.454</f>
        <v>1.6410000000000002</v>
      </c>
      <c r="X7" s="3">
        <f>X8+6.08</f>
        <v>8.3569999999999993</v>
      </c>
      <c r="Y7" s="3">
        <f>Y8+6.115</f>
        <v>8.8569999999999993</v>
      </c>
      <c r="Z7" s="3">
        <f>Z8+5.554</f>
        <v>11.085000000000001</v>
      </c>
      <c r="AA7" s="3">
        <f>AA8+6.414</f>
        <v>14.114999999999998</v>
      </c>
      <c r="AB7" s="3">
        <f>AB8+(3.02*2)</f>
        <v>14.05</v>
      </c>
      <c r="AC7" s="3">
        <v>25.6</v>
      </c>
      <c r="AD7" s="3">
        <v>16.010000000000002</v>
      </c>
      <c r="AE7" s="3">
        <v>21</v>
      </c>
      <c r="AF7" s="3">
        <v>26</v>
      </c>
      <c r="AG7" s="1">
        <v>28</v>
      </c>
      <c r="AH7" s="62">
        <v>31</v>
      </c>
    </row>
    <row r="8" spans="1:34" x14ac:dyDescent="0.3">
      <c r="A8" s="101"/>
      <c r="B8" s="13">
        <v>6</v>
      </c>
      <c r="C8" s="6" t="s">
        <v>10</v>
      </c>
      <c r="D8" s="7"/>
      <c r="E8" s="7"/>
      <c r="F8" s="7"/>
      <c r="G8" s="7"/>
      <c r="H8" s="7">
        <f>(1485801*5)/1000000</f>
        <v>7.4290050000000001</v>
      </c>
      <c r="I8" s="7">
        <f>(1280685*5)/1000000</f>
        <v>6.4034250000000004</v>
      </c>
      <c r="J8" s="7">
        <v>4.4180000000000001</v>
      </c>
      <c r="K8" s="19">
        <v>-0.21143500000000001</v>
      </c>
      <c r="L8" s="19">
        <v>0.34908099999999997</v>
      </c>
      <c r="M8" s="7">
        <v>-13.364390999999999</v>
      </c>
      <c r="N8" s="7">
        <v>-15.092000000000001</v>
      </c>
      <c r="O8" s="7">
        <v>-13.243</v>
      </c>
      <c r="P8" s="7">
        <v>-11.468999999999999</v>
      </c>
      <c r="Q8" s="7">
        <v>-7.077</v>
      </c>
      <c r="R8" s="7">
        <v>-12.064</v>
      </c>
      <c r="S8" s="7">
        <v>-18.693000000000001</v>
      </c>
      <c r="T8" s="7">
        <v>-2.0339999999999998</v>
      </c>
      <c r="U8" s="7">
        <v>2.7370000000000001</v>
      </c>
      <c r="V8" s="7">
        <v>-1.7529999999999999</v>
      </c>
      <c r="W8" s="7">
        <v>-1.8129999999999999</v>
      </c>
      <c r="X8" s="7">
        <v>2.2770000000000001</v>
      </c>
      <c r="Y8" s="7">
        <v>2.742</v>
      </c>
      <c r="Z8" s="7">
        <v>5.5309999999999997</v>
      </c>
      <c r="AA8" s="7">
        <v>7.7009999999999996</v>
      </c>
      <c r="AB8" s="7">
        <f>4.005*2</f>
        <v>8.01</v>
      </c>
      <c r="AC8" s="7">
        <v>14.29</v>
      </c>
      <c r="AD8" s="7">
        <v>2.456</v>
      </c>
      <c r="AE8" s="7">
        <v>11</v>
      </c>
      <c r="AF8" s="1">
        <v>15</v>
      </c>
      <c r="AG8" s="1">
        <v>17</v>
      </c>
      <c r="AH8" s="1"/>
    </row>
    <row r="9" spans="1:34" x14ac:dyDescent="0.3">
      <c r="A9" s="101"/>
      <c r="B9" s="13">
        <v>11</v>
      </c>
      <c r="C9" s="1" t="s">
        <v>11</v>
      </c>
      <c r="D9" s="3"/>
      <c r="E9" s="3"/>
      <c r="F9" s="3"/>
      <c r="G9" s="3"/>
      <c r="H9" s="3">
        <f>-(546190*5)/1000000</f>
        <v>-2.73095</v>
      </c>
      <c r="I9" s="3">
        <f>-(802319*5)/1000000</f>
        <v>-4.0115949999999998</v>
      </c>
      <c r="J9" s="3">
        <v>-4.4400000000000004</v>
      </c>
      <c r="K9" s="3">
        <v>-6.9355359999999999</v>
      </c>
      <c r="L9" s="3">
        <v>-7.7365000000000004</v>
      </c>
      <c r="M9" s="3">
        <v>-8.6405899999999995</v>
      </c>
      <c r="N9" s="3">
        <v>-7.6630000000000003</v>
      </c>
      <c r="O9" s="3">
        <v>-7.6589999999999998</v>
      </c>
      <c r="P9" s="3">
        <v>-4.5830000000000002</v>
      </c>
      <c r="Q9" s="3">
        <v>-4.5380000000000003</v>
      </c>
      <c r="R9" s="3">
        <v>-6.7110000000000003</v>
      </c>
      <c r="S9" s="3">
        <v>-4.4989999999999997</v>
      </c>
      <c r="T9" s="3">
        <v>-2.4420000000000002</v>
      </c>
      <c r="U9" s="3">
        <v>-2.347</v>
      </c>
      <c r="V9" s="3">
        <v>-2.218</v>
      </c>
      <c r="W9" s="3">
        <v>-2.274</v>
      </c>
      <c r="X9" s="3">
        <v>-3.2639999999999998</v>
      </c>
      <c r="Y9" s="3">
        <v>-3.3540000000000001</v>
      </c>
      <c r="Z9" s="3">
        <v>-3.54</v>
      </c>
      <c r="AA9" s="3">
        <v>-3.056</v>
      </c>
      <c r="AB9" s="3">
        <f>-1.392</f>
        <v>-1.3919999999999999</v>
      </c>
      <c r="AC9" s="3">
        <v>-1.3149999999999999</v>
      </c>
      <c r="AD9" s="3">
        <v>-4.8029999999999999</v>
      </c>
      <c r="AE9" s="3">
        <v>-5</v>
      </c>
      <c r="AF9" s="1">
        <v>-5</v>
      </c>
      <c r="AG9" s="1">
        <v>-4</v>
      </c>
      <c r="AH9" s="1"/>
    </row>
    <row r="10" spans="1:34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>
        <f>(1300581*5)/1000000</f>
        <v>6.5029050000000002</v>
      </c>
      <c r="I10" s="7">
        <f>-(327202*5)/1000000</f>
        <v>-1.63601</v>
      </c>
      <c r="J10" s="7">
        <v>0.751</v>
      </c>
      <c r="K10" s="7">
        <v>-7.8431980000000001</v>
      </c>
      <c r="L10" s="7">
        <v>-0.92781599999999997</v>
      </c>
      <c r="M10" s="7">
        <v>-36.600515000000001</v>
      </c>
      <c r="N10" s="7">
        <v>-22.754999999999999</v>
      </c>
      <c r="O10" s="7">
        <v>-20.902000000000001</v>
      </c>
      <c r="P10" s="7">
        <v>-16.052</v>
      </c>
      <c r="Q10" s="7">
        <v>-11.615</v>
      </c>
      <c r="R10" s="7">
        <v>-18.774999999999999</v>
      </c>
      <c r="S10" s="7">
        <v>-23.190999999999999</v>
      </c>
      <c r="T10" s="7">
        <v>-4.4749999999999996</v>
      </c>
      <c r="U10" s="19">
        <v>0.39100000000000001</v>
      </c>
      <c r="V10" s="7">
        <v>-3.9710000000000001</v>
      </c>
      <c r="W10" s="7">
        <v>-4.0869999999999997</v>
      </c>
      <c r="X10" s="7">
        <v>-0.98699999999999999</v>
      </c>
      <c r="Y10" s="7">
        <v>-0.61199999999999999</v>
      </c>
      <c r="Z10" s="7">
        <v>-1.992</v>
      </c>
      <c r="AA10" s="7">
        <v>-4.6449999999999996</v>
      </c>
      <c r="AB10" s="7">
        <f>-2.613*2</f>
        <v>-5.226</v>
      </c>
      <c r="AC10" s="7">
        <v>-5.5279999999999996</v>
      </c>
      <c r="AD10" s="7">
        <v>-2.226</v>
      </c>
      <c r="AE10" s="7">
        <v>6</v>
      </c>
      <c r="AF10" s="1">
        <v>10</v>
      </c>
      <c r="AG10" s="1">
        <v>13</v>
      </c>
      <c r="AH10" s="1"/>
    </row>
    <row r="11" spans="1:34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>
        <f>(114107*5)/1000000</f>
        <v>0.57053500000000001</v>
      </c>
      <c r="I11" s="3">
        <f>(120066*5)/1000000</f>
        <v>0.60033000000000003</v>
      </c>
      <c r="J11" s="3">
        <v>-0.57799999999999996</v>
      </c>
      <c r="K11" s="3">
        <v>8.1239720000000002</v>
      </c>
      <c r="L11" s="35">
        <v>0.34383799999999998</v>
      </c>
      <c r="M11" s="3">
        <v>9.1199349999999999</v>
      </c>
      <c r="N11" s="3">
        <v>-8.9250000000000007</v>
      </c>
      <c r="O11" s="3">
        <v>-2.5720000000000001</v>
      </c>
      <c r="P11" s="3">
        <v>-1.1739999999999999</v>
      </c>
      <c r="Q11" s="3">
        <v>0.752</v>
      </c>
      <c r="R11" s="35">
        <v>-0.377</v>
      </c>
      <c r="S11" s="3">
        <v>-4.8070000000000004</v>
      </c>
      <c r="T11" s="3">
        <v>-0.72799999999999998</v>
      </c>
      <c r="U11" s="35">
        <v>0.38100000000000001</v>
      </c>
      <c r="V11" s="35">
        <v>0.41699999999999998</v>
      </c>
      <c r="W11" s="35">
        <v>7.0999999999999994E-2</v>
      </c>
      <c r="X11" s="3">
        <v>0.98399999999999999</v>
      </c>
      <c r="Y11" s="35">
        <v>0.20300000000000001</v>
      </c>
      <c r="Z11" s="35">
        <v>0.251</v>
      </c>
      <c r="AA11" s="35">
        <v>0.42799999999999999</v>
      </c>
      <c r="AB11" s="3">
        <f>0.749*2</f>
        <v>1.498</v>
      </c>
      <c r="AC11" s="3">
        <f>0.749*2</f>
        <v>1.498</v>
      </c>
      <c r="AD11" s="34">
        <v>-0.1</v>
      </c>
      <c r="AE11" s="3">
        <v>1</v>
      </c>
      <c r="AF11" s="3">
        <v>1</v>
      </c>
      <c r="AG11" s="1">
        <v>2</v>
      </c>
      <c r="AH11" s="1"/>
    </row>
    <row r="12" spans="1:34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>
        <f>(1300581*5)/1000000</f>
        <v>6.5029050000000002</v>
      </c>
      <c r="I12" s="7">
        <f>-(327202*5)/1000000</f>
        <v>-1.63601</v>
      </c>
      <c r="J12" s="19">
        <v>0.17299999999999999</v>
      </c>
      <c r="K12" s="19">
        <v>0.215669</v>
      </c>
      <c r="L12" s="7">
        <v>-0.59000399999999997</v>
      </c>
      <c r="M12" s="7">
        <v>-29.475109</v>
      </c>
      <c r="N12" s="7">
        <v>-13.83</v>
      </c>
      <c r="O12" s="7">
        <v>-18.324999999999999</v>
      </c>
      <c r="P12" s="7">
        <v>-14.878</v>
      </c>
      <c r="Q12" s="7">
        <v>-12.367000000000001</v>
      </c>
      <c r="R12" s="7">
        <v>-18.396999999999998</v>
      </c>
      <c r="S12" s="7">
        <v>-18.384</v>
      </c>
      <c r="T12" s="7">
        <v>-3.7469999999999999</v>
      </c>
      <c r="U12" s="43">
        <v>8.9999999999999993E-3</v>
      </c>
      <c r="V12" s="7">
        <v>-3.5539999999999998</v>
      </c>
      <c r="W12" s="7">
        <v>-4.0149999999999997</v>
      </c>
      <c r="X12" s="7">
        <v>-1.9710000000000001</v>
      </c>
      <c r="Y12" s="7">
        <v>-0.81399999999999995</v>
      </c>
      <c r="Z12" s="7">
        <v>1.7410000000000001</v>
      </c>
      <c r="AA12" s="7">
        <v>4.218</v>
      </c>
      <c r="AB12" s="7">
        <f>1.864*2</f>
        <v>3.7280000000000002</v>
      </c>
      <c r="AC12" s="7">
        <v>7.4539999999999997</v>
      </c>
      <c r="AD12" s="7">
        <v>-2.1269999999999998</v>
      </c>
      <c r="AE12" s="7">
        <v>7</v>
      </c>
      <c r="AF12" s="1">
        <v>11</v>
      </c>
      <c r="AG12" s="1">
        <v>15</v>
      </c>
      <c r="AH12" s="1"/>
    </row>
    <row r="13" spans="1:34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3">
        <v>0</v>
      </c>
      <c r="I13" s="3">
        <v>0</v>
      </c>
      <c r="J13" s="3">
        <v>0</v>
      </c>
      <c r="K13" s="22">
        <f>0.0031/K5</f>
        <v>5.7460611677479152E-4</v>
      </c>
      <c r="L13" s="22">
        <f>0.0086/L5</f>
        <v>1.5940685820203895E-3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</row>
    <row r="14" spans="1:34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>
        <f>(1180727*5)/1000000</f>
        <v>5.9036350000000004</v>
      </c>
      <c r="I14" s="7">
        <f>(451258*5)/1000000</f>
        <v>2.2562899999999999</v>
      </c>
      <c r="J14" s="7">
        <v>0.72109999999999996</v>
      </c>
      <c r="K14" s="7">
        <v>1.9201999999999999</v>
      </c>
      <c r="L14" s="7">
        <v>1.8331999999999999</v>
      </c>
      <c r="M14" s="19">
        <v>0.43809999999999999</v>
      </c>
      <c r="N14" s="7">
        <v>1.3380000000000001</v>
      </c>
      <c r="O14" s="43">
        <v>0.32500000000000001</v>
      </c>
      <c r="P14" s="19">
        <v>0.42599999999999999</v>
      </c>
      <c r="Q14" s="19">
        <v>0.23899999999999999</v>
      </c>
      <c r="R14" s="7">
        <v>0.32800000000000001</v>
      </c>
      <c r="S14" s="7">
        <v>1.3939999999999999</v>
      </c>
      <c r="T14" s="7">
        <v>26.318999999999999</v>
      </c>
      <c r="U14" s="7">
        <v>16.443999999999999</v>
      </c>
      <c r="V14" s="7">
        <v>6.9930000000000003</v>
      </c>
      <c r="W14" s="7">
        <v>4.0549999999999997</v>
      </c>
      <c r="X14" s="7">
        <v>1.9</v>
      </c>
      <c r="Y14" s="7">
        <v>2.2000000000000002</v>
      </c>
      <c r="Z14" s="7">
        <v>1.6</v>
      </c>
      <c r="AA14" s="7">
        <v>4.8</v>
      </c>
      <c r="AB14" s="7">
        <v>11.1</v>
      </c>
      <c r="AC14" s="7">
        <v>14.5</v>
      </c>
      <c r="AD14" s="7">
        <v>17.5</v>
      </c>
      <c r="AE14" s="7">
        <v>15.6</v>
      </c>
      <c r="AF14" s="1"/>
      <c r="AG14" s="1"/>
      <c r="AH14" s="1"/>
    </row>
    <row r="15" spans="1:34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>
        <f>(450000+3615285+5100000+657266)*5/1000000</f>
        <v>49.112755</v>
      </c>
      <c r="I15" s="3">
        <f>(4500000+1685345+600000+7794297)*5/1000000</f>
        <v>72.898210000000006</v>
      </c>
      <c r="J15" s="3">
        <f>14.96394+4.19338+7.48197+44.27993</f>
        <v>70.919219999999996</v>
      </c>
      <c r="K15" s="3">
        <f>22.455+20.308791+4.878905+74.603486+2.737071</f>
        <v>124.983253</v>
      </c>
      <c r="L15" s="3">
        <f>14.97+26.226327+85.459883+3.567521</f>
        <v>130.22373100000002</v>
      </c>
      <c r="M15" s="3">
        <f>2.495+23.422475+6.423032+114.563801+0.433465</f>
        <v>147.33777300000003</v>
      </c>
      <c r="N15" s="3">
        <f>36.932+105.112</f>
        <v>142.04399999999998</v>
      </c>
      <c r="O15" s="3">
        <f>11.128+117.638</f>
        <v>128.76600000000002</v>
      </c>
      <c r="P15" s="3">
        <f>49.953+32.492</f>
        <v>82.444999999999993</v>
      </c>
      <c r="Q15" s="3">
        <f>76.188+14.153</f>
        <v>90.341000000000008</v>
      </c>
      <c r="R15" s="3">
        <f>74.954+24.62</f>
        <v>99.573999999999998</v>
      </c>
      <c r="S15" s="3">
        <f>5.336+14.335</f>
        <v>19.670999999999999</v>
      </c>
      <c r="T15" s="3">
        <f>16.597</f>
        <v>16.597000000000001</v>
      </c>
      <c r="U15" s="3">
        <v>15.757999999999999</v>
      </c>
      <c r="V15" s="3">
        <v>16.382000000000001</v>
      </c>
      <c r="W15" s="3">
        <v>25.079000000000001</v>
      </c>
      <c r="X15" s="3">
        <v>90.1</v>
      </c>
      <c r="Y15" s="3">
        <v>96.6</v>
      </c>
      <c r="Z15" s="3">
        <v>92.6</v>
      </c>
      <c r="AA15" s="3">
        <v>46.4</v>
      </c>
      <c r="AB15" s="3">
        <v>94.7</v>
      </c>
      <c r="AC15" s="3">
        <v>105.9</v>
      </c>
      <c r="AD15" s="3">
        <v>105.8</v>
      </c>
      <c r="AE15" s="3">
        <v>110.4</v>
      </c>
      <c r="AF15" s="1"/>
      <c r="AG15" s="1"/>
      <c r="AH15" s="1"/>
    </row>
    <row r="16" spans="1:34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19">
        <f>(36456*5)/1000000</f>
        <v>0.18228</v>
      </c>
      <c r="I16" s="7">
        <v>0</v>
      </c>
      <c r="J16" s="7">
        <v>0</v>
      </c>
      <c r="K16" s="19">
        <v>0.10581</v>
      </c>
      <c r="L16" s="7">
        <v>0.116742</v>
      </c>
      <c r="M16" s="7">
        <v>0.118827</v>
      </c>
      <c r="N16" s="7">
        <v>0</v>
      </c>
      <c r="O16" s="7">
        <v>0</v>
      </c>
      <c r="P16" s="19">
        <v>0.107</v>
      </c>
      <c r="Q16" s="19">
        <v>0.10100000000000001</v>
      </c>
      <c r="R16" s="19">
        <v>0.105</v>
      </c>
      <c r="S16" s="19">
        <v>0.10199999999999999</v>
      </c>
      <c r="T16" s="19">
        <v>0.105</v>
      </c>
      <c r="U16" s="19">
        <v>0.151</v>
      </c>
      <c r="V16" s="7">
        <v>0.14099999999999999</v>
      </c>
      <c r="W16" s="43">
        <v>7.2999999999999995E-2</v>
      </c>
      <c r="X16" s="29">
        <v>0.2</v>
      </c>
      <c r="Y16" s="29">
        <v>0.2</v>
      </c>
      <c r="Z16" s="29">
        <v>0.2</v>
      </c>
      <c r="AA16" s="29">
        <v>0.3</v>
      </c>
      <c r="AB16" s="29">
        <v>0.8</v>
      </c>
      <c r="AC16" s="29">
        <v>1</v>
      </c>
      <c r="AD16" s="29">
        <v>1.1000000000000001</v>
      </c>
      <c r="AE16" s="29">
        <v>1.1000000000000001</v>
      </c>
      <c r="AF16" s="30"/>
      <c r="AG16" s="30"/>
      <c r="AH16" s="30"/>
    </row>
    <row r="17" spans="1:34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5">
        <v>0</v>
      </c>
      <c r="W17" s="35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</row>
    <row r="18" spans="1:34" x14ac:dyDescent="0.3">
      <c r="A18" s="103"/>
      <c r="B18" s="14">
        <v>15</v>
      </c>
      <c r="C18" s="6" t="s">
        <v>19</v>
      </c>
      <c r="D18" s="7"/>
      <c r="E18" s="7"/>
      <c r="F18" s="7"/>
      <c r="G18" s="7"/>
      <c r="H18" s="7">
        <f>H19+(5828750*5)/1000000</f>
        <v>82.355170000000001</v>
      </c>
      <c r="I18" s="7">
        <f>I19+(6238023*5)/1000000</f>
        <v>92.288845000000009</v>
      </c>
      <c r="J18" s="7">
        <v>106.02889</v>
      </c>
      <c r="K18" s="7">
        <v>188.88865100000001</v>
      </c>
      <c r="L18" s="7">
        <v>193.571393</v>
      </c>
      <c r="M18" s="7">
        <v>226.87188900000001</v>
      </c>
      <c r="N18" s="7">
        <v>197.84700000000001</v>
      </c>
      <c r="O18" s="7">
        <v>178.25</v>
      </c>
      <c r="P18" s="7">
        <v>133.22200000000001</v>
      </c>
      <c r="Q18" s="7">
        <v>129.54</v>
      </c>
      <c r="R18" s="7">
        <v>138.006</v>
      </c>
      <c r="S18" s="7">
        <v>151.16999999999999</v>
      </c>
      <c r="T18" s="7">
        <v>100.15300000000001</v>
      </c>
      <c r="U18" s="7">
        <v>97.573999999999998</v>
      </c>
      <c r="V18" s="7">
        <v>99.980999999999995</v>
      </c>
      <c r="W18" s="7">
        <v>118.30800000000001</v>
      </c>
      <c r="X18" s="7">
        <v>137.69999999999999</v>
      </c>
      <c r="Y18" s="7">
        <v>145.30000000000001</v>
      </c>
      <c r="Z18" s="7">
        <v>144.80000000000001</v>
      </c>
      <c r="AA18" s="7">
        <v>95.5</v>
      </c>
      <c r="AB18" s="7">
        <v>163.30000000000001</v>
      </c>
      <c r="AC18" s="34">
        <v>172.2</v>
      </c>
      <c r="AD18" s="7">
        <v>164.2</v>
      </c>
      <c r="AE18" s="7">
        <v>162.4</v>
      </c>
      <c r="AF18" s="1"/>
      <c r="AG18" s="1"/>
      <c r="AH18" s="1"/>
    </row>
    <row r="19" spans="1:34" x14ac:dyDescent="0.3">
      <c r="A19" s="103"/>
      <c r="B19" s="14">
        <v>18</v>
      </c>
      <c r="C19" s="1" t="s">
        <v>21</v>
      </c>
      <c r="D19" s="3"/>
      <c r="E19" s="3"/>
      <c r="F19" s="3"/>
      <c r="G19" s="3"/>
      <c r="H19" s="3">
        <f>(10642284*5)/1000000</f>
        <v>53.211419999999997</v>
      </c>
      <c r="I19" s="3">
        <f>(12219746*5)/1000000</f>
        <v>61.098730000000003</v>
      </c>
      <c r="J19" s="3">
        <v>79.146540000000002</v>
      </c>
      <c r="K19" s="3">
        <v>111.450855</v>
      </c>
      <c r="L19" s="3">
        <f>L20+44.605403</f>
        <v>171.77931000000001</v>
      </c>
      <c r="M19" s="3">
        <f>M20+35.00485</f>
        <v>199.31837000000002</v>
      </c>
      <c r="N19" s="3">
        <v>147.447</v>
      </c>
      <c r="O19" s="3">
        <v>154.65199999999999</v>
      </c>
      <c r="P19" s="3">
        <v>65.864999999999995</v>
      </c>
      <c r="Q19" s="3">
        <v>41.313000000000002</v>
      </c>
      <c r="R19" s="3">
        <v>47.918999999999997</v>
      </c>
      <c r="S19" s="3">
        <v>62.896999999999998</v>
      </c>
      <c r="T19" s="3">
        <v>18.106000000000002</v>
      </c>
      <c r="U19" s="3">
        <v>15.717000000000001</v>
      </c>
      <c r="V19" s="3">
        <v>17.192</v>
      </c>
      <c r="W19" s="3">
        <v>26.178000000000001</v>
      </c>
      <c r="X19" s="3">
        <v>34.905999999999999</v>
      </c>
      <c r="Y19" s="3">
        <v>40.323</v>
      </c>
      <c r="Z19" s="3">
        <v>42.134</v>
      </c>
      <c r="AA19" s="3">
        <v>55.220999999999997</v>
      </c>
      <c r="AB19" s="3">
        <v>90.4</v>
      </c>
      <c r="AC19" s="3">
        <v>79.599999999999994</v>
      </c>
      <c r="AD19" s="3">
        <v>63.5</v>
      </c>
      <c r="AE19" s="3">
        <v>54.3</v>
      </c>
      <c r="AF19" s="1"/>
      <c r="AG19" s="1"/>
      <c r="AH19" s="1"/>
    </row>
    <row r="20" spans="1:34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>
        <f>(4831378+4190663+1180727)*5/1000000</f>
        <v>51.013840000000002</v>
      </c>
      <c r="I20" s="7">
        <f>(5710551+4559982+451258)*5/1000000</f>
        <v>53.608955000000002</v>
      </c>
      <c r="J20" s="7">
        <f>31.54896+22.08774+0.62676</f>
        <v>54.263460000000002</v>
      </c>
      <c r="K20" s="7">
        <f>41.569741+39.524185+1.90935</f>
        <v>83.003276000000014</v>
      </c>
      <c r="L20" s="7">
        <f>127.173907</f>
        <v>127.173907</v>
      </c>
      <c r="M20" s="7">
        <v>164.31352000000001</v>
      </c>
      <c r="N20" s="7">
        <v>78.721999999999994</v>
      </c>
      <c r="O20" s="7">
        <v>72.034000000000006</v>
      </c>
      <c r="P20" s="7">
        <v>40.779000000000003</v>
      </c>
      <c r="Q20" s="7">
        <v>37.107999999999997</v>
      </c>
      <c r="R20" s="7">
        <v>33.743000000000002</v>
      </c>
      <c r="S20" s="7">
        <v>28.553999999999998</v>
      </c>
      <c r="T20" s="7">
        <v>54.98</v>
      </c>
      <c r="U20" s="7">
        <v>47.747</v>
      </c>
      <c r="V20" s="7">
        <v>45.22</v>
      </c>
      <c r="W20" s="7">
        <v>43.780999999999999</v>
      </c>
      <c r="X20" s="7">
        <v>47.152000000000001</v>
      </c>
      <c r="Y20" s="7">
        <v>49.8</v>
      </c>
      <c r="Z20" s="7">
        <v>52.063000000000002</v>
      </c>
      <c r="AA20" s="7">
        <v>57.860999999999997</v>
      </c>
      <c r="AB20" s="7">
        <v>72.099999999999994</v>
      </c>
      <c r="AC20" s="7">
        <v>80.099999999999994</v>
      </c>
      <c r="AD20" s="7">
        <v>75.099999999999994</v>
      </c>
      <c r="AE20" s="7">
        <v>78.099999999999994</v>
      </c>
      <c r="AF20" s="1"/>
      <c r="AG20" s="1"/>
      <c r="AH20" s="1"/>
    </row>
    <row r="21" spans="1:34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>
        <f>(4831378*5)/1000000</f>
        <v>24.156890000000001</v>
      </c>
      <c r="I21" s="3">
        <f>(5710551*5)/1000000</f>
        <v>28.552755000000001</v>
      </c>
      <c r="J21" s="3">
        <v>31.548960000000001</v>
      </c>
      <c r="K21" s="3">
        <v>41.569741</v>
      </c>
      <c r="L21" s="3">
        <v>49.717429000000003</v>
      </c>
      <c r="M21" s="3">
        <v>47.058095000000002</v>
      </c>
      <c r="N21" s="3">
        <v>54.951000000000001</v>
      </c>
      <c r="O21" s="3">
        <v>48.055999999999997</v>
      </c>
      <c r="P21" s="3">
        <v>24.318999999999999</v>
      </c>
      <c r="Q21" s="3">
        <v>22.495999999999999</v>
      </c>
      <c r="R21" s="3">
        <v>22.084</v>
      </c>
      <c r="S21" s="3">
        <v>15.018000000000001</v>
      </c>
      <c r="T21" s="3">
        <v>17.916</v>
      </c>
      <c r="U21" s="3">
        <v>20.100999999999999</v>
      </c>
      <c r="V21" s="3">
        <v>26.234000000000002</v>
      </c>
      <c r="W21" s="3">
        <v>29.867999999999999</v>
      </c>
      <c r="X21" s="3">
        <v>30.861999999999998</v>
      </c>
      <c r="Y21" s="3">
        <v>33.972999999999999</v>
      </c>
      <c r="Z21" s="3">
        <v>35.140999999999998</v>
      </c>
      <c r="AA21" s="3">
        <v>33.530999999999999</v>
      </c>
      <c r="AB21" s="3">
        <v>36.6</v>
      </c>
      <c r="AC21" s="3">
        <v>41.8</v>
      </c>
      <c r="AD21" s="3">
        <v>43</v>
      </c>
      <c r="AE21" s="3">
        <v>44.4</v>
      </c>
      <c r="AF21" s="1"/>
      <c r="AG21" s="1"/>
      <c r="AH21" s="1"/>
    </row>
    <row r="22" spans="1:34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>
        <f>(3536574+60072)*5/1000000</f>
        <v>17.983229999999999</v>
      </c>
      <c r="I22" s="7">
        <f>(3876419+61821)*5/1000000</f>
        <v>19.691199999999998</v>
      </c>
      <c r="J22" s="7">
        <f>18.95631+0.0653</f>
        <v>19.021609999999999</v>
      </c>
      <c r="K22" s="7">
        <v>32.118853999999999</v>
      </c>
      <c r="L22" s="7">
        <f>33.635752+0.202432</f>
        <v>33.838183999999998</v>
      </c>
      <c r="M22" s="7">
        <v>32.739547000000002</v>
      </c>
      <c r="N22" s="7">
        <v>18.655999999999999</v>
      </c>
      <c r="O22" s="7">
        <v>14.393000000000001</v>
      </c>
      <c r="P22" s="7">
        <v>14.281000000000001</v>
      </c>
      <c r="Q22" s="7">
        <v>13.33</v>
      </c>
      <c r="R22" s="7">
        <v>11.053000000000001</v>
      </c>
      <c r="S22" s="7">
        <v>11.833</v>
      </c>
      <c r="T22" s="7">
        <v>10.73</v>
      </c>
      <c r="U22" s="7">
        <v>11</v>
      </c>
      <c r="V22" s="7">
        <v>11.33</v>
      </c>
      <c r="W22" s="7">
        <v>9.2479999999999993</v>
      </c>
      <c r="X22" s="7">
        <v>13.5</v>
      </c>
      <c r="Y22" s="7">
        <v>12.5</v>
      </c>
      <c r="Z22" s="7">
        <v>13</v>
      </c>
      <c r="AA22" s="7">
        <v>17.399999999999999</v>
      </c>
      <c r="AB22" s="7">
        <v>21.7</v>
      </c>
      <c r="AC22" s="7">
        <v>21.7</v>
      </c>
      <c r="AD22" s="7">
        <v>13.2</v>
      </c>
      <c r="AE22" s="7">
        <v>17.600000000000001</v>
      </c>
      <c r="AF22" s="1"/>
      <c r="AG22" s="1"/>
      <c r="AH22" s="1"/>
    </row>
    <row r="23" spans="1:34" x14ac:dyDescent="0.3">
      <c r="A23" s="103"/>
      <c r="B23" s="14">
        <v>16</v>
      </c>
      <c r="C23" s="1" t="s">
        <v>20</v>
      </c>
      <c r="D23" s="3"/>
      <c r="E23" s="3"/>
      <c r="F23" s="3"/>
      <c r="G23" s="3"/>
      <c r="H23" s="3">
        <f>(11215038*5)/1000000</f>
        <v>56.075189999999999</v>
      </c>
      <c r="I23" s="3">
        <f>(9665324*5)/1000000</f>
        <v>48.326619999999998</v>
      </c>
      <c r="J23" s="3">
        <v>47.981909999999999</v>
      </c>
      <c r="K23" s="3">
        <v>46.305934999999998</v>
      </c>
      <c r="L23" s="3">
        <v>44.290222</v>
      </c>
      <c r="M23" s="3">
        <v>16.042807</v>
      </c>
      <c r="N23" s="3">
        <v>8.9350000000000005</v>
      </c>
      <c r="O23" s="3">
        <v>-15.058</v>
      </c>
      <c r="P23" s="3">
        <v>1.026</v>
      </c>
      <c r="Q23" s="3">
        <v>-10.500999999999999</v>
      </c>
      <c r="R23" s="3">
        <v>-28.073</v>
      </c>
      <c r="S23" s="3">
        <v>-45.494</v>
      </c>
      <c r="T23" s="3">
        <v>31.277000000000001</v>
      </c>
      <c r="U23" s="3">
        <v>33.298000000000002</v>
      </c>
      <c r="V23" s="3">
        <v>30.454999999999998</v>
      </c>
      <c r="W23" s="3">
        <v>27.79</v>
      </c>
      <c r="X23" s="3">
        <v>28.4</v>
      </c>
      <c r="Y23" s="3">
        <v>27.5</v>
      </c>
      <c r="Z23" s="3">
        <v>31</v>
      </c>
      <c r="AA23" s="3">
        <v>82.3</v>
      </c>
      <c r="AB23" s="3">
        <v>49.5</v>
      </c>
      <c r="AC23" s="3">
        <v>71.8</v>
      </c>
      <c r="AD23" s="3">
        <v>65.3</v>
      </c>
      <c r="AE23" s="3">
        <v>65.5</v>
      </c>
      <c r="AF23" s="1"/>
      <c r="AG23" s="1"/>
      <c r="AH23" s="1"/>
    </row>
    <row r="25" spans="1:34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  <c r="AG25" s="8" t="s">
        <v>116</v>
      </c>
      <c r="AH25" s="97" t="s">
        <v>117</v>
      </c>
    </row>
    <row r="26" spans="1:34" x14ac:dyDescent="0.3">
      <c r="A26" s="6" t="s">
        <v>65</v>
      </c>
      <c r="B26" s="17" t="s">
        <v>27</v>
      </c>
      <c r="C26" s="6" t="s">
        <v>85</v>
      </c>
      <c r="D26" s="7">
        <f t="shared" ref="D26:AC26" si="0">D4*D5</f>
        <v>0</v>
      </c>
      <c r="E26" s="7">
        <f t="shared" si="0"/>
        <v>0</v>
      </c>
      <c r="F26" s="7">
        <f t="shared" si="0"/>
        <v>0</v>
      </c>
      <c r="G26" s="7">
        <f t="shared" si="0"/>
        <v>0</v>
      </c>
      <c r="H26" s="7">
        <f t="shared" si="0"/>
        <v>18.327000000000002</v>
      </c>
      <c r="I26" s="7">
        <f t="shared" si="0"/>
        <v>12.761250000000002</v>
      </c>
      <c r="J26" s="7">
        <f t="shared" si="0"/>
        <v>9.9937500000000004</v>
      </c>
      <c r="K26" s="7">
        <f t="shared" si="0"/>
        <v>7.9845999999999995</v>
      </c>
      <c r="L26" s="7">
        <f t="shared" si="0"/>
        <v>8.5780499999999993</v>
      </c>
      <c r="M26" s="7">
        <f t="shared" si="0"/>
        <v>7.3911499999999997</v>
      </c>
      <c r="N26" s="7">
        <f t="shared" si="0"/>
        <v>5.8805500000000004</v>
      </c>
      <c r="O26" s="7">
        <f t="shared" si="0"/>
        <v>2.1472099999999998</v>
      </c>
      <c r="P26" s="7">
        <f t="shared" si="0"/>
        <v>11.663415000000001</v>
      </c>
      <c r="Q26" s="7">
        <f t="shared" si="0"/>
        <v>20.9815</v>
      </c>
      <c r="R26" s="7">
        <f t="shared" si="0"/>
        <v>9.1784999999999997</v>
      </c>
      <c r="S26" s="7">
        <f t="shared" si="0"/>
        <v>14.4275</v>
      </c>
      <c r="T26" s="7">
        <f t="shared" si="0"/>
        <v>92.50800000000001</v>
      </c>
      <c r="U26" s="7">
        <f t="shared" si="0"/>
        <v>80.944500000000005</v>
      </c>
      <c r="V26" s="7">
        <f t="shared" si="0"/>
        <v>92.50800000000001</v>
      </c>
      <c r="W26" s="7">
        <f t="shared" si="0"/>
        <v>92.50800000000001</v>
      </c>
      <c r="X26" s="7">
        <f t="shared" si="0"/>
        <v>127.19850000000001</v>
      </c>
      <c r="Y26" s="7">
        <f t="shared" si="0"/>
        <v>92.50800000000001</v>
      </c>
      <c r="Z26" s="7">
        <f t="shared" si="0"/>
        <v>104.0715</v>
      </c>
      <c r="AA26" s="7">
        <f t="shared" si="0"/>
        <v>173.45250000000001</v>
      </c>
      <c r="AB26" s="7">
        <f t="shared" si="0"/>
        <v>245.3801</v>
      </c>
      <c r="AC26" s="7">
        <f t="shared" si="0"/>
        <v>216.42098774599998</v>
      </c>
      <c r="AD26" s="7">
        <f t="shared" ref="AD26:AH26" si="1">AD4*AD5</f>
        <v>155.9145</v>
      </c>
      <c r="AE26" s="7">
        <f t="shared" si="1"/>
        <v>184.47</v>
      </c>
      <c r="AF26" s="7">
        <f t="shared" si="1"/>
        <v>155.1225</v>
      </c>
      <c r="AG26" s="7">
        <f t="shared" si="1"/>
        <v>155.1225</v>
      </c>
      <c r="AH26" s="7">
        <f t="shared" si="1"/>
        <v>155.1225</v>
      </c>
    </row>
    <row r="27" spans="1:34" x14ac:dyDescent="0.3">
      <c r="A27" s="1" t="s">
        <v>66</v>
      </c>
      <c r="B27" s="2" t="s">
        <v>28</v>
      </c>
      <c r="C27" s="1" t="s">
        <v>47</v>
      </c>
      <c r="D27" s="30" t="e">
        <f t="shared" ref="D27:AC27" si="2">D26/D6</f>
        <v>#DIV/0!</v>
      </c>
      <c r="E27" s="30" t="e">
        <f t="shared" si="2"/>
        <v>#DIV/0!</v>
      </c>
      <c r="F27" s="30" t="e">
        <f t="shared" si="2"/>
        <v>#DIV/0!</v>
      </c>
      <c r="G27" s="30" t="e">
        <f t="shared" si="2"/>
        <v>#DIV/0!</v>
      </c>
      <c r="H27" s="30">
        <f t="shared" si="2"/>
        <v>0.22074543349220255</v>
      </c>
      <c r="I27" s="30">
        <f t="shared" si="2"/>
        <v>0.14940184821018082</v>
      </c>
      <c r="J27" s="30">
        <f t="shared" si="2"/>
        <v>0.11261959228749478</v>
      </c>
      <c r="K27" s="30">
        <f t="shared" si="2"/>
        <v>6.3935201481923262E-2</v>
      </c>
      <c r="L27" s="30">
        <f t="shared" si="2"/>
        <v>6.0699899873346119E-2</v>
      </c>
      <c r="M27" s="30">
        <f t="shared" si="2"/>
        <v>5.4276099521796947E-2</v>
      </c>
      <c r="N27" s="30">
        <f t="shared" si="2"/>
        <v>6.2399724108658752E-2</v>
      </c>
      <c r="O27" s="30">
        <f t="shared" si="2"/>
        <v>2.6978050282067068E-2</v>
      </c>
      <c r="P27" s="30">
        <f t="shared" si="2"/>
        <v>0.15354477955793105</v>
      </c>
      <c r="Q27" s="30">
        <f t="shared" si="2"/>
        <v>0.30708828522920206</v>
      </c>
      <c r="R27" s="30">
        <f t="shared" si="2"/>
        <v>0.15372569380474652</v>
      </c>
      <c r="S27" s="30">
        <f t="shared" si="2"/>
        <v>0.26539678451859755</v>
      </c>
      <c r="T27" s="30">
        <f t="shared" si="2"/>
        <v>1.8218484747031138</v>
      </c>
      <c r="U27" s="30">
        <f t="shared" si="2"/>
        <v>1.5017532467532468</v>
      </c>
      <c r="V27" s="30">
        <f t="shared" si="2"/>
        <v>1.7056567593480347</v>
      </c>
      <c r="W27" s="30">
        <f t="shared" si="2"/>
        <v>1.7076718600014771</v>
      </c>
      <c r="X27" s="30">
        <f t="shared" si="2"/>
        <v>1.9517953045880008</v>
      </c>
      <c r="Y27" s="30">
        <f t="shared" si="2"/>
        <v>1.2878562180674082</v>
      </c>
      <c r="Z27" s="30">
        <f t="shared" si="2"/>
        <v>1.3795450628985009</v>
      </c>
      <c r="AA27" s="30">
        <f t="shared" si="2"/>
        <v>2.0410738871041767</v>
      </c>
      <c r="AB27" s="30">
        <f t="shared" si="2"/>
        <v>2.4785868686868686</v>
      </c>
      <c r="AC27" s="30">
        <f t="shared" si="2"/>
        <v>1.8020065590840966</v>
      </c>
      <c r="AD27" s="30">
        <f t="shared" ref="AD27" si="3">AD26/AD6</f>
        <v>1.4122690217391305</v>
      </c>
      <c r="AE27" s="30">
        <f t="shared" ref="AE27:AH27" si="4">AE26/AE6</f>
        <v>1.618157894736842</v>
      </c>
      <c r="AF27" s="30">
        <f t="shared" si="4"/>
        <v>1.1841412213740459</v>
      </c>
      <c r="AG27" s="30">
        <f t="shared" si="4"/>
        <v>1.1159892086330936</v>
      </c>
      <c r="AH27" s="30">
        <f t="shared" si="4"/>
        <v>1.0698103448275862</v>
      </c>
    </row>
    <row r="28" spans="1:34" x14ac:dyDescent="0.3">
      <c r="A28" s="6" t="s">
        <v>67</v>
      </c>
      <c r="B28" s="17" t="s">
        <v>29</v>
      </c>
      <c r="C28" s="6" t="s">
        <v>48</v>
      </c>
      <c r="D28" s="29" t="e">
        <f t="shared" ref="D28:AC28" si="5">D26/D7</f>
        <v>#DIV/0!</v>
      </c>
      <c r="E28" s="29" t="e">
        <f t="shared" si="5"/>
        <v>#DIV/0!</v>
      </c>
      <c r="F28" s="29" t="e">
        <f t="shared" si="5"/>
        <v>#DIV/0!</v>
      </c>
      <c r="G28" s="29" t="e">
        <f t="shared" si="5"/>
        <v>#DIV/0!</v>
      </c>
      <c r="H28" s="29">
        <f t="shared" si="5"/>
        <v>2.4664176518363554</v>
      </c>
      <c r="I28" s="29">
        <f t="shared" si="5"/>
        <v>1.9315692084142178</v>
      </c>
      <c r="J28" s="29">
        <f t="shared" si="5"/>
        <v>2.2387432795698925</v>
      </c>
      <c r="K28" s="29">
        <f t="shared" si="5"/>
        <v>-40.669281312076599</v>
      </c>
      <c r="L28" s="29">
        <f t="shared" si="5"/>
        <v>14.582568339453283</v>
      </c>
      <c r="M28" s="29">
        <f t="shared" si="5"/>
        <v>-0.56312528418545293</v>
      </c>
      <c r="N28" s="29">
        <f t="shared" si="5"/>
        <v>-1.6985990756787985</v>
      </c>
      <c r="O28" s="29">
        <f t="shared" si="5"/>
        <v>-0.71241207697412046</v>
      </c>
      <c r="P28" s="29">
        <f t="shared" si="5"/>
        <v>-4.8617819924968755</v>
      </c>
      <c r="Q28" s="29">
        <f t="shared" si="5"/>
        <v>35.322390572390553</v>
      </c>
      <c r="R28" s="29">
        <f t="shared" si="5"/>
        <v>-14.274494556765148</v>
      </c>
      <c r="S28" s="29">
        <f t="shared" si="5"/>
        <v>-2.2546491639318642</v>
      </c>
      <c r="T28" s="29">
        <f t="shared" si="5"/>
        <v>516.80446927374226</v>
      </c>
      <c r="U28" s="29">
        <f t="shared" si="5"/>
        <v>18.497372029250457</v>
      </c>
      <c r="V28" s="29">
        <f t="shared" si="5"/>
        <v>51.165929203539825</v>
      </c>
      <c r="W28" s="29">
        <f t="shared" si="5"/>
        <v>56.372943327239483</v>
      </c>
      <c r="X28" s="29">
        <f t="shared" si="5"/>
        <v>15.220593514419052</v>
      </c>
      <c r="Y28" s="29">
        <f t="shared" si="5"/>
        <v>10.444620074517333</v>
      </c>
      <c r="Z28" s="29">
        <f t="shared" si="5"/>
        <v>9.3884979702300395</v>
      </c>
      <c r="AA28" s="29">
        <f t="shared" si="5"/>
        <v>12.28852284803401</v>
      </c>
      <c r="AB28" s="29">
        <f t="shared" si="5"/>
        <v>17.464775800711742</v>
      </c>
      <c r="AC28" s="29">
        <f t="shared" si="5"/>
        <v>8.4539448338281229</v>
      </c>
      <c r="AD28" s="29">
        <f t="shared" ref="AD28" si="6">AD26/AD7</f>
        <v>9.7385696439725162</v>
      </c>
      <c r="AE28" s="29">
        <f t="shared" ref="AE28:AH28" si="7">AE26/AE7</f>
        <v>8.7842857142857138</v>
      </c>
      <c r="AF28" s="29">
        <f t="shared" si="7"/>
        <v>5.9662500000000005</v>
      </c>
      <c r="AG28" s="29">
        <f t="shared" si="7"/>
        <v>5.540089285714286</v>
      </c>
      <c r="AH28" s="29">
        <f t="shared" si="7"/>
        <v>5.0039516129032258</v>
      </c>
    </row>
    <row r="29" spans="1:34" x14ac:dyDescent="0.3">
      <c r="A29" s="15" t="s">
        <v>68</v>
      </c>
      <c r="B29" s="2" t="s">
        <v>30</v>
      </c>
      <c r="C29" s="1" t="s">
        <v>49</v>
      </c>
      <c r="D29" s="3">
        <f t="shared" ref="D29:AE29" si="8">D15-D14</f>
        <v>0</v>
      </c>
      <c r="E29" s="3">
        <f t="shared" si="8"/>
        <v>0</v>
      </c>
      <c r="F29" s="3">
        <f t="shared" si="8"/>
        <v>0</v>
      </c>
      <c r="G29" s="3">
        <f t="shared" si="8"/>
        <v>0</v>
      </c>
      <c r="H29" s="3">
        <f t="shared" si="8"/>
        <v>43.209119999999999</v>
      </c>
      <c r="I29" s="3">
        <f t="shared" si="8"/>
        <v>70.641919999999999</v>
      </c>
      <c r="J29" s="3">
        <f t="shared" si="8"/>
        <v>70.198119999999989</v>
      </c>
      <c r="K29" s="3">
        <f t="shared" si="8"/>
        <v>123.06305300000001</v>
      </c>
      <c r="L29" s="3">
        <f t="shared" si="8"/>
        <v>128.39053100000001</v>
      </c>
      <c r="M29" s="3">
        <f t="shared" si="8"/>
        <v>146.89967300000004</v>
      </c>
      <c r="N29" s="3">
        <f t="shared" si="8"/>
        <v>140.70599999999999</v>
      </c>
      <c r="O29" s="3">
        <f t="shared" si="8"/>
        <v>128.44100000000003</v>
      </c>
      <c r="P29" s="3">
        <f t="shared" si="8"/>
        <v>82.018999999999991</v>
      </c>
      <c r="Q29" s="3">
        <f t="shared" si="8"/>
        <v>90.102000000000004</v>
      </c>
      <c r="R29" s="3">
        <f t="shared" si="8"/>
        <v>99.245999999999995</v>
      </c>
      <c r="S29" s="3">
        <f t="shared" si="8"/>
        <v>18.277000000000001</v>
      </c>
      <c r="T29" s="3">
        <f t="shared" si="8"/>
        <v>-9.7219999999999978</v>
      </c>
      <c r="U29" s="3">
        <f t="shared" si="8"/>
        <v>-0.68599999999999994</v>
      </c>
      <c r="V29" s="3">
        <f t="shared" si="8"/>
        <v>9.3890000000000011</v>
      </c>
      <c r="W29" s="3">
        <f t="shared" si="8"/>
        <v>21.024000000000001</v>
      </c>
      <c r="X29" s="3">
        <f t="shared" si="8"/>
        <v>88.199999999999989</v>
      </c>
      <c r="Y29" s="3">
        <f t="shared" si="8"/>
        <v>94.399999999999991</v>
      </c>
      <c r="Z29" s="3">
        <f t="shared" si="8"/>
        <v>91</v>
      </c>
      <c r="AA29" s="3">
        <f t="shared" si="8"/>
        <v>41.6</v>
      </c>
      <c r="AB29" s="3">
        <f t="shared" si="8"/>
        <v>83.600000000000009</v>
      </c>
      <c r="AC29" s="3">
        <f t="shared" si="8"/>
        <v>91.4</v>
      </c>
      <c r="AD29" s="3">
        <f t="shared" si="8"/>
        <v>88.3</v>
      </c>
      <c r="AE29" s="3">
        <f t="shared" si="8"/>
        <v>94.800000000000011</v>
      </c>
      <c r="AF29" s="3"/>
      <c r="AG29" s="1"/>
      <c r="AH29" s="1"/>
    </row>
    <row r="30" spans="1:34" x14ac:dyDescent="0.3">
      <c r="A30" s="6" t="s">
        <v>69</v>
      </c>
      <c r="B30" s="17" t="s">
        <v>31</v>
      </c>
      <c r="C30" s="6" t="s">
        <v>50</v>
      </c>
      <c r="D30" s="7">
        <f t="shared" ref="D30:AD30" si="9">D26+D29+D16+D17</f>
        <v>0</v>
      </c>
      <c r="E30" s="7">
        <f t="shared" si="9"/>
        <v>0</v>
      </c>
      <c r="F30" s="7">
        <f t="shared" si="9"/>
        <v>0</v>
      </c>
      <c r="G30" s="7">
        <f t="shared" si="9"/>
        <v>0</v>
      </c>
      <c r="H30" s="7">
        <f t="shared" si="9"/>
        <v>61.718399999999995</v>
      </c>
      <c r="I30" s="7">
        <f t="shared" si="9"/>
        <v>83.403170000000003</v>
      </c>
      <c r="J30" s="7">
        <f t="shared" si="9"/>
        <v>80.191869999999994</v>
      </c>
      <c r="K30" s="7">
        <f t="shared" si="9"/>
        <v>131.15346299999999</v>
      </c>
      <c r="L30" s="7">
        <f t="shared" si="9"/>
        <v>137.08532299999999</v>
      </c>
      <c r="M30" s="7">
        <f t="shared" si="9"/>
        <v>154.40965000000006</v>
      </c>
      <c r="N30" s="7">
        <f t="shared" si="9"/>
        <v>146.58654999999999</v>
      </c>
      <c r="O30" s="7">
        <f t="shared" si="9"/>
        <v>130.58821000000003</v>
      </c>
      <c r="P30" s="7">
        <f t="shared" si="9"/>
        <v>93.789414999999991</v>
      </c>
      <c r="Q30" s="7">
        <f t="shared" si="9"/>
        <v>111.1845</v>
      </c>
      <c r="R30" s="7">
        <f t="shared" si="9"/>
        <v>108.5295</v>
      </c>
      <c r="S30" s="7">
        <f t="shared" si="9"/>
        <v>32.8065</v>
      </c>
      <c r="T30" s="7">
        <f t="shared" si="9"/>
        <v>82.89100000000002</v>
      </c>
      <c r="U30" s="7">
        <f t="shared" si="9"/>
        <v>80.409499999999994</v>
      </c>
      <c r="V30" s="7">
        <f t="shared" si="9"/>
        <v>102.03800000000001</v>
      </c>
      <c r="W30" s="7">
        <f t="shared" si="9"/>
        <v>113.605</v>
      </c>
      <c r="X30" s="7">
        <f t="shared" si="9"/>
        <v>215.5985</v>
      </c>
      <c r="Y30" s="7">
        <f t="shared" si="9"/>
        <v>187.108</v>
      </c>
      <c r="Z30" s="7">
        <f t="shared" si="9"/>
        <v>195.2715</v>
      </c>
      <c r="AA30" s="7">
        <f t="shared" si="9"/>
        <v>215.35250000000002</v>
      </c>
      <c r="AB30" s="7">
        <f t="shared" si="9"/>
        <v>329.7801</v>
      </c>
      <c r="AC30" s="7">
        <f t="shared" si="9"/>
        <v>308.82098774600001</v>
      </c>
      <c r="AD30" s="7">
        <f t="shared" si="9"/>
        <v>245.31449999999998</v>
      </c>
      <c r="AE30" s="7">
        <f t="shared" ref="AE30" si="10">AE26+AE29+AE16+AE17</f>
        <v>280.37</v>
      </c>
      <c r="AF30" s="1"/>
      <c r="AG30" s="1"/>
      <c r="AH30" s="1"/>
    </row>
    <row r="31" spans="1:34" x14ac:dyDescent="0.3">
      <c r="A31" s="1" t="s">
        <v>70</v>
      </c>
      <c r="B31" s="2" t="s">
        <v>32</v>
      </c>
      <c r="C31" s="1" t="s">
        <v>51</v>
      </c>
      <c r="D31" s="30" t="e">
        <f t="shared" ref="D31:AD31" si="11">D30/D7</f>
        <v>#DIV/0!</v>
      </c>
      <c r="E31" s="30" t="e">
        <f t="shared" si="11"/>
        <v>#DIV/0!</v>
      </c>
      <c r="F31" s="30" t="e">
        <f t="shared" si="11"/>
        <v>#DIV/0!</v>
      </c>
      <c r="G31" s="30" t="e">
        <f t="shared" si="11"/>
        <v>#DIV/0!</v>
      </c>
      <c r="H31" s="30">
        <f t="shared" si="11"/>
        <v>8.3059612158616734</v>
      </c>
      <c r="I31" s="30">
        <f t="shared" si="11"/>
        <v>12.624076407572645</v>
      </c>
      <c r="J31" s="30">
        <f t="shared" si="11"/>
        <v>17.964128584229389</v>
      </c>
      <c r="K31" s="30">
        <f t="shared" si="11"/>
        <v>-668.02558447511831</v>
      </c>
      <c r="L31" s="30">
        <f t="shared" si="11"/>
        <v>233.04318475452195</v>
      </c>
      <c r="M31" s="30">
        <f t="shared" si="11"/>
        <v>-11.76433681324643</v>
      </c>
      <c r="N31" s="30">
        <f t="shared" si="11"/>
        <v>-42.341580011554015</v>
      </c>
      <c r="O31" s="30">
        <f t="shared" si="11"/>
        <v>-43.327209688122089</v>
      </c>
      <c r="P31" s="30">
        <f t="shared" si="11"/>
        <v>-39.095212588578583</v>
      </c>
      <c r="Q31" s="30">
        <f t="shared" si="11"/>
        <v>187.17929292929284</v>
      </c>
      <c r="R31" s="30">
        <f t="shared" si="11"/>
        <v>-168.78615863141505</v>
      </c>
      <c r="S31" s="30">
        <f t="shared" si="11"/>
        <v>-5.1268166901078285</v>
      </c>
      <c r="T31" s="30">
        <f t="shared" si="11"/>
        <v>463.07821229050222</v>
      </c>
      <c r="U31" s="30">
        <f t="shared" si="11"/>
        <v>18.375114259597805</v>
      </c>
      <c r="V31" s="30">
        <f t="shared" si="11"/>
        <v>56.436946902654874</v>
      </c>
      <c r="W31" s="30">
        <f t="shared" si="11"/>
        <v>69.229128580134059</v>
      </c>
      <c r="X31" s="30">
        <f t="shared" si="11"/>
        <v>25.798552112001918</v>
      </c>
      <c r="Y31" s="30">
        <f t="shared" si="11"/>
        <v>21.125437507056567</v>
      </c>
      <c r="Z31" s="30">
        <f t="shared" si="11"/>
        <v>17.615832205683354</v>
      </c>
      <c r="AA31" s="30">
        <f t="shared" si="11"/>
        <v>15.256996103436064</v>
      </c>
      <c r="AB31" s="30">
        <f t="shared" si="11"/>
        <v>23.471893238434163</v>
      </c>
      <c r="AC31" s="30">
        <f t="shared" si="11"/>
        <v>12.063319833828125</v>
      </c>
      <c r="AD31" s="30">
        <f t="shared" si="11"/>
        <v>15.322579637726419</v>
      </c>
      <c r="AE31" s="30">
        <f t="shared" ref="AE31" si="12">AE30/AE7</f>
        <v>13.350952380952382</v>
      </c>
      <c r="AF31" s="1"/>
      <c r="AG31" s="1"/>
      <c r="AH31" s="1"/>
    </row>
    <row r="32" spans="1:34" x14ac:dyDescent="0.3">
      <c r="A32" s="18" t="s">
        <v>72</v>
      </c>
      <c r="B32" s="17" t="s">
        <v>33</v>
      </c>
      <c r="C32" s="6" t="s">
        <v>109</v>
      </c>
      <c r="D32" s="6" t="e">
        <f t="shared" ref="D32:AC32" si="13">D7/D6</f>
        <v>#DIV/0!</v>
      </c>
      <c r="E32" s="6" t="e">
        <f t="shared" si="13"/>
        <v>#DIV/0!</v>
      </c>
      <c r="F32" s="6" t="e">
        <f t="shared" si="13"/>
        <v>#DIV/0!</v>
      </c>
      <c r="G32" s="6" t="e">
        <f t="shared" si="13"/>
        <v>#DIV/0!</v>
      </c>
      <c r="H32" s="72">
        <f t="shared" si="13"/>
        <v>8.9500427199686941E-2</v>
      </c>
      <c r="I32" s="72">
        <f t="shared" si="13"/>
        <v>7.7347395868272786E-2</v>
      </c>
      <c r="J32" s="72">
        <f t="shared" si="13"/>
        <v>5.0304826513708746E-2</v>
      </c>
      <c r="K32" s="72">
        <f t="shared" si="13"/>
        <v>-1.5720760096868966E-3</v>
      </c>
      <c r="L32" s="72">
        <f t="shared" si="13"/>
        <v>4.1624971994214449E-3</v>
      </c>
      <c r="M32" s="72">
        <f t="shared" si="13"/>
        <v>-9.6383701897360216E-2</v>
      </c>
      <c r="N32" s="72">
        <f t="shared" si="13"/>
        <v>-3.6735993208828525E-2</v>
      </c>
      <c r="O32" s="72">
        <f t="shared" si="13"/>
        <v>-3.7868603234034015E-2</v>
      </c>
      <c r="P32" s="72">
        <f t="shared" si="13"/>
        <v>-3.1581996024275603E-2</v>
      </c>
      <c r="Q32" s="72">
        <f t="shared" si="13"/>
        <v>8.693870382296123E-3</v>
      </c>
      <c r="R32" s="72">
        <f t="shared" si="13"/>
        <v>-1.0769256536084558E-2</v>
      </c>
      <c r="S32" s="72">
        <f t="shared" si="13"/>
        <v>-0.11771090099701999</v>
      </c>
      <c r="T32" s="72">
        <f t="shared" si="13"/>
        <v>3.525218110561874E-3</v>
      </c>
      <c r="U32" s="72">
        <f t="shared" si="13"/>
        <v>8.1187384044526911E-2</v>
      </c>
      <c r="V32" s="72">
        <f t="shared" si="13"/>
        <v>3.3335791725053472E-2</v>
      </c>
      <c r="W32" s="72">
        <f t="shared" si="13"/>
        <v>3.0292401978882087E-2</v>
      </c>
      <c r="X32" s="72">
        <f t="shared" si="13"/>
        <v>0.1282338499309498</v>
      </c>
      <c r="Y32" s="72">
        <f t="shared" si="13"/>
        <v>0.12330330915621387</v>
      </c>
      <c r="Z32" s="72">
        <f t="shared" si="13"/>
        <v>0.1469399117167513</v>
      </c>
      <c r="AA32" s="72">
        <f t="shared" si="13"/>
        <v>0.16609595085960391</v>
      </c>
      <c r="AB32" s="72">
        <f t="shared" si="13"/>
        <v>0.14191919191919192</v>
      </c>
      <c r="AC32" s="72">
        <f t="shared" si="13"/>
        <v>0.21315570358034974</v>
      </c>
      <c r="AD32" s="72">
        <f t="shared" ref="AD32:AE32" si="14">AD7/AD6</f>
        <v>0.14501811594202899</v>
      </c>
      <c r="AE32" s="72">
        <f t="shared" si="14"/>
        <v>0.18421052631578946</v>
      </c>
      <c r="AF32" s="72">
        <f t="shared" ref="AF32:AG32" si="15">AF7/AF6</f>
        <v>0.19847328244274809</v>
      </c>
      <c r="AG32" s="72">
        <f t="shared" si="15"/>
        <v>0.20143884892086331</v>
      </c>
      <c r="AH32" s="1"/>
    </row>
    <row r="33" spans="1:34" x14ac:dyDescent="0.3">
      <c r="A33" s="16" t="s">
        <v>73</v>
      </c>
      <c r="B33" s="2" t="s">
        <v>34</v>
      </c>
      <c r="C33" s="1" t="s">
        <v>110</v>
      </c>
      <c r="D33" s="1" t="e">
        <f t="shared" ref="D33:AC33" si="16">D8/D6</f>
        <v>#DIV/0!</v>
      </c>
      <c r="E33" s="1" t="e">
        <f t="shared" si="16"/>
        <v>#DIV/0!</v>
      </c>
      <c r="F33" s="1" t="e">
        <f t="shared" si="16"/>
        <v>#DIV/0!</v>
      </c>
      <c r="G33" s="1" t="e">
        <f t="shared" si="16"/>
        <v>#DIV/0!</v>
      </c>
      <c r="H33" s="73">
        <f t="shared" si="16"/>
        <v>8.9481035037962564E-2</v>
      </c>
      <c r="I33" s="73">
        <f t="shared" si="16"/>
        <v>7.4967854236479725E-2</v>
      </c>
      <c r="J33" s="73">
        <f t="shared" si="16"/>
        <v>4.9786452405368553E-2</v>
      </c>
      <c r="K33" s="73">
        <f t="shared" si="16"/>
        <v>-1.6930264916627566E-3</v>
      </c>
      <c r="L33" s="73">
        <f t="shared" si="16"/>
        <v>2.4701630029770796E-3</v>
      </c>
      <c r="M33" s="73">
        <f t="shared" si="16"/>
        <v>-9.8139939788017758E-2</v>
      </c>
      <c r="N33" s="73">
        <f t="shared" si="16"/>
        <v>-0.16014431239388796</v>
      </c>
      <c r="O33" s="73">
        <f t="shared" si="16"/>
        <v>-0.16638815946526619</v>
      </c>
      <c r="P33" s="73">
        <f t="shared" si="16"/>
        <v>-0.15098537407353774</v>
      </c>
      <c r="Q33" s="73">
        <f t="shared" si="16"/>
        <v>-0.10358000117089164</v>
      </c>
      <c r="R33" s="73">
        <f t="shared" si="16"/>
        <v>-0.20205336057748671</v>
      </c>
      <c r="S33" s="73">
        <f t="shared" si="16"/>
        <v>-0.34386152091534528</v>
      </c>
      <c r="T33" s="73">
        <f t="shared" si="16"/>
        <v>-4.005750635130078E-2</v>
      </c>
      <c r="U33" s="73">
        <f t="shared" si="16"/>
        <v>5.0779220779220785E-2</v>
      </c>
      <c r="V33" s="73">
        <f t="shared" si="16"/>
        <v>-3.2321705140497085E-2</v>
      </c>
      <c r="W33" s="73">
        <f t="shared" si="16"/>
        <v>-3.3467473971793546E-2</v>
      </c>
      <c r="X33" s="73">
        <f t="shared" si="16"/>
        <v>3.4939389289550406E-2</v>
      </c>
      <c r="Y33" s="73">
        <f t="shared" si="16"/>
        <v>3.8172933691581624E-2</v>
      </c>
      <c r="Z33" s="73">
        <f t="shared" si="16"/>
        <v>7.3317514813292864E-2</v>
      </c>
      <c r="AA33" s="73">
        <f t="shared" si="16"/>
        <v>9.0620256292583051E-2</v>
      </c>
      <c r="AB33" s="73">
        <f t="shared" si="16"/>
        <v>8.0909090909090903E-2</v>
      </c>
      <c r="AC33" s="73">
        <f t="shared" si="16"/>
        <v>0.1189841798501249</v>
      </c>
      <c r="AD33" s="73">
        <f t="shared" ref="AD33:AE33" si="17">AD8/AD6</f>
        <v>2.22463768115942E-2</v>
      </c>
      <c r="AE33" s="73">
        <f t="shared" si="17"/>
        <v>9.6491228070175433E-2</v>
      </c>
      <c r="AF33" s="73">
        <f t="shared" ref="AF33:AG33" si="18">AF8/AF6</f>
        <v>0.11450381679389313</v>
      </c>
      <c r="AG33" s="73">
        <f t="shared" si="18"/>
        <v>0.1223021582733813</v>
      </c>
      <c r="AH33" s="1"/>
    </row>
    <row r="34" spans="1:34" x14ac:dyDescent="0.3">
      <c r="A34" s="18" t="s">
        <v>74</v>
      </c>
      <c r="B34" s="17" t="s">
        <v>35</v>
      </c>
      <c r="C34" s="6" t="s">
        <v>54</v>
      </c>
      <c r="D34" s="6" t="e">
        <f t="shared" ref="D34:AC34" si="19">D11/D10</f>
        <v>#DIV/0!</v>
      </c>
      <c r="E34" s="6" t="e">
        <f t="shared" si="19"/>
        <v>#DIV/0!</v>
      </c>
      <c r="F34" s="6" t="e">
        <f t="shared" si="19"/>
        <v>#DIV/0!</v>
      </c>
      <c r="G34" s="6" t="e">
        <f t="shared" si="19"/>
        <v>#DIV/0!</v>
      </c>
      <c r="H34" s="72">
        <f t="shared" si="19"/>
        <v>8.77354044077224E-2</v>
      </c>
      <c r="I34" s="72">
        <f t="shared" si="19"/>
        <v>-0.36694763479440839</v>
      </c>
      <c r="J34" s="72">
        <f t="shared" si="19"/>
        <v>-0.76964047936085211</v>
      </c>
      <c r="K34" s="72">
        <f t="shared" si="19"/>
        <v>-1.035798407741332</v>
      </c>
      <c r="L34" s="72">
        <f t="shared" si="19"/>
        <v>-0.37058856497408965</v>
      </c>
      <c r="M34" s="72">
        <f t="shared" si="19"/>
        <v>-0.24917504576096811</v>
      </c>
      <c r="N34" s="72">
        <f t="shared" si="19"/>
        <v>0.39222148978246546</v>
      </c>
      <c r="O34" s="72">
        <f t="shared" si="19"/>
        <v>0.12305042579657449</v>
      </c>
      <c r="P34" s="72">
        <f t="shared" si="19"/>
        <v>7.3137303762770986E-2</v>
      </c>
      <c r="Q34" s="72">
        <f t="shared" si="19"/>
        <v>-6.4743865690916919E-2</v>
      </c>
      <c r="R34" s="72">
        <f t="shared" si="19"/>
        <v>2.0079893475366178E-2</v>
      </c>
      <c r="S34" s="72">
        <f t="shared" si="19"/>
        <v>0.20727868569703767</v>
      </c>
      <c r="T34" s="72">
        <f t="shared" si="19"/>
        <v>0.16268156424581007</v>
      </c>
      <c r="U34" s="72">
        <f t="shared" si="19"/>
        <v>0.97442455242966752</v>
      </c>
      <c r="V34" s="72">
        <f t="shared" si="19"/>
        <v>-0.10501133215814655</v>
      </c>
      <c r="W34" s="72">
        <f t="shared" si="19"/>
        <v>-1.7372155615365793E-2</v>
      </c>
      <c r="X34" s="72">
        <f t="shared" si="19"/>
        <v>-0.99696048632218848</v>
      </c>
      <c r="Y34" s="72">
        <f t="shared" si="19"/>
        <v>-0.3316993464052288</v>
      </c>
      <c r="Z34" s="72">
        <f t="shared" si="19"/>
        <v>-0.12600401606425704</v>
      </c>
      <c r="AA34" s="72">
        <f t="shared" si="19"/>
        <v>-9.214208826695372E-2</v>
      </c>
      <c r="AB34" s="72">
        <f t="shared" si="19"/>
        <v>-0.28664370455415233</v>
      </c>
      <c r="AC34" s="72">
        <f t="shared" si="19"/>
        <v>-0.27098408104196819</v>
      </c>
      <c r="AD34" s="72">
        <f t="shared" ref="AD34:AE34" si="20">AD11/AD10</f>
        <v>4.4923629829290213E-2</v>
      </c>
      <c r="AE34" s="72">
        <f t="shared" si="20"/>
        <v>0.16666666666666666</v>
      </c>
      <c r="AF34" s="72">
        <f t="shared" ref="AF34:AG34" si="21">AF11/AF10</f>
        <v>0.1</v>
      </c>
      <c r="AG34" s="72">
        <f t="shared" si="21"/>
        <v>0.15384615384615385</v>
      </c>
      <c r="AH34" s="1"/>
    </row>
    <row r="35" spans="1:34" x14ac:dyDescent="0.3">
      <c r="A35" s="16" t="s">
        <v>75</v>
      </c>
      <c r="B35" s="2" t="s">
        <v>36</v>
      </c>
      <c r="C35" s="1" t="s">
        <v>108</v>
      </c>
      <c r="D35" s="1" t="e">
        <f t="shared" ref="D35:AE35" si="22">D12/D6</f>
        <v>#DIV/0!</v>
      </c>
      <c r="E35" s="1" t="e">
        <f t="shared" si="22"/>
        <v>#DIV/0!</v>
      </c>
      <c r="F35" s="1" t="e">
        <f t="shared" si="22"/>
        <v>#DIV/0!</v>
      </c>
      <c r="G35" s="1" t="e">
        <f t="shared" si="22"/>
        <v>#DIV/0!</v>
      </c>
      <c r="H35" s="73">
        <f t="shared" si="22"/>
        <v>7.832632635912104E-2</v>
      </c>
      <c r="I35" s="73">
        <f t="shared" si="22"/>
        <v>-1.9153524747993957E-2</v>
      </c>
      <c r="J35" s="73">
        <f t="shared" si="22"/>
        <v>1.9495374074533179E-3</v>
      </c>
      <c r="K35" s="73">
        <f t="shared" si="22"/>
        <v>1.7269294602616171E-3</v>
      </c>
      <c r="L35" s="73">
        <f t="shared" si="22"/>
        <v>-4.1749795961638957E-3</v>
      </c>
      <c r="M35" s="73">
        <f t="shared" si="22"/>
        <v>-0.21644723074214609</v>
      </c>
      <c r="N35" s="73">
        <f t="shared" si="22"/>
        <v>-0.14675297113752123</v>
      </c>
      <c r="O35" s="73">
        <f t="shared" si="22"/>
        <v>-0.23023959995476875</v>
      </c>
      <c r="P35" s="73">
        <f t="shared" si="22"/>
        <v>-0.1958636668816893</v>
      </c>
      <c r="Q35" s="73">
        <f t="shared" si="22"/>
        <v>-0.18100521046777124</v>
      </c>
      <c r="R35" s="73">
        <f t="shared" si="22"/>
        <v>-0.30812132580769419</v>
      </c>
      <c r="S35" s="73">
        <f t="shared" si="22"/>
        <v>-0.33817740333321067</v>
      </c>
      <c r="T35" s="73">
        <f t="shared" si="22"/>
        <v>-7.3793252850700111E-2</v>
      </c>
      <c r="U35" s="73">
        <f t="shared" si="22"/>
        <v>1.6697588126159555E-4</v>
      </c>
      <c r="V35" s="73">
        <f t="shared" si="22"/>
        <v>-6.5528431300243384E-2</v>
      </c>
      <c r="W35" s="73">
        <f t="shared" si="22"/>
        <v>-7.4115779369415935E-2</v>
      </c>
      <c r="X35" s="73">
        <f t="shared" si="22"/>
        <v>-3.0243977290164186E-2</v>
      </c>
      <c r="Y35" s="73">
        <f t="shared" si="22"/>
        <v>-1.133215464075399E-2</v>
      </c>
      <c r="Z35" s="73">
        <f t="shared" si="22"/>
        <v>2.3078248651228147E-2</v>
      </c>
      <c r="AA35" s="73">
        <f t="shared" si="22"/>
        <v>4.9634624210117557E-2</v>
      </c>
      <c r="AB35" s="73">
        <f t="shared" si="22"/>
        <v>3.7656565656565659E-2</v>
      </c>
      <c r="AC35" s="73">
        <f t="shared" si="22"/>
        <v>6.2064945878434641E-2</v>
      </c>
      <c r="AD35" s="73">
        <f t="shared" si="22"/>
        <v>-1.9266304347826085E-2</v>
      </c>
      <c r="AE35" s="73">
        <f t="shared" si="22"/>
        <v>6.1403508771929821E-2</v>
      </c>
      <c r="AF35" s="73">
        <f t="shared" ref="AF35:AG35" si="23">AF12/AF6</f>
        <v>8.3969465648854963E-2</v>
      </c>
      <c r="AG35" s="73">
        <f t="shared" si="23"/>
        <v>0.1079136690647482</v>
      </c>
      <c r="AH35" s="1"/>
    </row>
    <row r="36" spans="1:34" x14ac:dyDescent="0.3">
      <c r="A36" s="18" t="s">
        <v>76</v>
      </c>
      <c r="B36" s="17" t="s">
        <v>37</v>
      </c>
      <c r="C36" s="6" t="s">
        <v>56</v>
      </c>
      <c r="D36" s="29" t="e">
        <f t="shared" ref="D36:G36" si="24">D26/D12</f>
        <v>#DIV/0!</v>
      </c>
      <c r="E36" s="29" t="e">
        <f t="shared" si="24"/>
        <v>#DIV/0!</v>
      </c>
      <c r="F36" s="29" t="e">
        <f t="shared" si="24"/>
        <v>#DIV/0!</v>
      </c>
      <c r="G36" s="29" t="e">
        <f t="shared" si="24"/>
        <v>#DIV/0!</v>
      </c>
      <c r="H36" s="29">
        <f t="shared" ref="H36:AG36" si="25">IF(H26/H12&lt;0,0,H26/H12)</f>
        <v>2.8182789076574242</v>
      </c>
      <c r="I36" s="29">
        <f t="shared" si="25"/>
        <v>0</v>
      </c>
      <c r="J36" s="29">
        <f t="shared" si="25"/>
        <v>57.767341040462433</v>
      </c>
      <c r="K36" s="29">
        <f t="shared" si="25"/>
        <v>37.02247425452893</v>
      </c>
      <c r="L36" s="29">
        <f t="shared" si="25"/>
        <v>0</v>
      </c>
      <c r="M36" s="29">
        <f t="shared" si="25"/>
        <v>0</v>
      </c>
      <c r="N36" s="29">
        <f t="shared" si="25"/>
        <v>0</v>
      </c>
      <c r="O36" s="29">
        <f t="shared" si="25"/>
        <v>0</v>
      </c>
      <c r="P36" s="29">
        <f t="shared" si="25"/>
        <v>0</v>
      </c>
      <c r="Q36" s="29">
        <f t="shared" si="25"/>
        <v>0</v>
      </c>
      <c r="R36" s="29">
        <f t="shared" si="25"/>
        <v>0</v>
      </c>
      <c r="S36" s="29">
        <f t="shared" si="25"/>
        <v>0</v>
      </c>
      <c r="T36" s="29">
        <f t="shared" si="25"/>
        <v>0</v>
      </c>
      <c r="U36" s="29">
        <f t="shared" si="25"/>
        <v>8993.8333333333339</v>
      </c>
      <c r="V36" s="29">
        <f t="shared" si="25"/>
        <v>0</v>
      </c>
      <c r="W36" s="29">
        <f t="shared" si="25"/>
        <v>0</v>
      </c>
      <c r="X36" s="29">
        <f t="shared" si="25"/>
        <v>0</v>
      </c>
      <c r="Y36" s="29">
        <f t="shared" si="25"/>
        <v>0</v>
      </c>
      <c r="Z36" s="29">
        <f t="shared" si="25"/>
        <v>59.776852383687533</v>
      </c>
      <c r="AA36" s="29">
        <f t="shared" si="25"/>
        <v>41.121977240398294</v>
      </c>
      <c r="AB36" s="29">
        <f t="shared" si="25"/>
        <v>65.820842274678114</v>
      </c>
      <c r="AC36" s="29">
        <f t="shared" si="25"/>
        <v>29.03420817628119</v>
      </c>
      <c r="AD36" s="29">
        <f t="shared" si="25"/>
        <v>0</v>
      </c>
      <c r="AE36" s="29">
        <f t="shared" si="25"/>
        <v>26.352857142857143</v>
      </c>
      <c r="AF36" s="29">
        <f t="shared" si="25"/>
        <v>14.102045454545454</v>
      </c>
      <c r="AG36" s="29">
        <f t="shared" si="25"/>
        <v>10.3415</v>
      </c>
      <c r="AH36" s="1"/>
    </row>
    <row r="37" spans="1:34" x14ac:dyDescent="0.3">
      <c r="A37" s="16" t="s">
        <v>77</v>
      </c>
      <c r="B37" s="2" t="s">
        <v>38</v>
      </c>
      <c r="C37" s="1" t="s">
        <v>57</v>
      </c>
      <c r="D37" s="30" t="e">
        <f t="shared" ref="D37:AE37" si="26">D26/D23</f>
        <v>#DIV/0!</v>
      </c>
      <c r="E37" s="30" t="e">
        <f t="shared" si="26"/>
        <v>#DIV/0!</v>
      </c>
      <c r="F37" s="30" t="e">
        <f t="shared" si="26"/>
        <v>#DIV/0!</v>
      </c>
      <c r="G37" s="30" t="e">
        <f t="shared" si="26"/>
        <v>#DIV/0!</v>
      </c>
      <c r="H37" s="30">
        <f t="shared" si="26"/>
        <v>0.3268290308066723</v>
      </c>
      <c r="I37" s="30">
        <f t="shared" si="26"/>
        <v>0.26406253944513403</v>
      </c>
      <c r="J37" s="30">
        <f t="shared" si="26"/>
        <v>0.20828162113596563</v>
      </c>
      <c r="K37" s="30">
        <f t="shared" si="26"/>
        <v>0.17243146045965813</v>
      </c>
      <c r="L37" s="30">
        <f t="shared" si="26"/>
        <v>0.19367818928521061</v>
      </c>
      <c r="M37" s="30">
        <f t="shared" si="26"/>
        <v>0.46071426278456129</v>
      </c>
      <c r="N37" s="30">
        <f t="shared" si="26"/>
        <v>0.65814773363178514</v>
      </c>
      <c r="O37" s="30">
        <f t="shared" si="26"/>
        <v>-0.14259596227918714</v>
      </c>
      <c r="P37" s="30">
        <f t="shared" si="26"/>
        <v>11.367850877192982</v>
      </c>
      <c r="Q37" s="30">
        <f t="shared" si="26"/>
        <v>-1.9980478049709554</v>
      </c>
      <c r="R37" s="30">
        <f t="shared" si="26"/>
        <v>-0.32695116303921917</v>
      </c>
      <c r="S37" s="30">
        <f t="shared" si="26"/>
        <v>-0.31712973139315076</v>
      </c>
      <c r="T37" s="30">
        <f t="shared" si="26"/>
        <v>2.9577005467276276</v>
      </c>
      <c r="U37" s="30">
        <f t="shared" si="26"/>
        <v>2.4309117664724607</v>
      </c>
      <c r="V37" s="30">
        <f t="shared" si="26"/>
        <v>3.0375307831226404</v>
      </c>
      <c r="W37" s="30">
        <f t="shared" si="26"/>
        <v>3.3288233177401949</v>
      </c>
      <c r="X37" s="30">
        <f t="shared" si="26"/>
        <v>4.478820422535212</v>
      </c>
      <c r="Y37" s="30">
        <f t="shared" si="26"/>
        <v>3.3639272727272731</v>
      </c>
      <c r="Z37" s="30">
        <f t="shared" si="26"/>
        <v>3.3571451612903225</v>
      </c>
      <c r="AA37" s="30">
        <f t="shared" si="26"/>
        <v>2.1075637910085057</v>
      </c>
      <c r="AB37" s="30">
        <f t="shared" si="26"/>
        <v>4.9571737373737372</v>
      </c>
      <c r="AC37" s="30">
        <f t="shared" si="26"/>
        <v>3.0142198850417827</v>
      </c>
      <c r="AD37" s="30">
        <f t="shared" si="26"/>
        <v>2.387664624808576</v>
      </c>
      <c r="AE37" s="30">
        <f t="shared" si="26"/>
        <v>2.8163358778625955</v>
      </c>
      <c r="AF37" s="30"/>
      <c r="AG37" s="30"/>
      <c r="AH37" s="1"/>
    </row>
    <row r="38" spans="1:34" x14ac:dyDescent="0.3">
      <c r="A38" s="18" t="s">
        <v>78</v>
      </c>
      <c r="B38" s="17" t="s">
        <v>39</v>
      </c>
      <c r="C38" s="6" t="s">
        <v>106</v>
      </c>
      <c r="D38" s="55" t="e">
        <f t="shared" ref="D38:AC38" si="27">D8/D23</f>
        <v>#DIV/0!</v>
      </c>
      <c r="E38" s="55" t="e">
        <f t="shared" si="27"/>
        <v>#DIV/0!</v>
      </c>
      <c r="F38" s="55" t="e">
        <f t="shared" si="27"/>
        <v>#DIV/0!</v>
      </c>
      <c r="G38" s="55" t="e">
        <f t="shared" si="27"/>
        <v>#DIV/0!</v>
      </c>
      <c r="H38" s="55">
        <f t="shared" si="27"/>
        <v>0.13248292159152739</v>
      </c>
      <c r="I38" s="55">
        <f t="shared" si="27"/>
        <v>0.13250305939045603</v>
      </c>
      <c r="J38" s="55">
        <f t="shared" si="27"/>
        <v>9.207636794783701E-2</v>
      </c>
      <c r="K38" s="55">
        <f t="shared" si="27"/>
        <v>-4.5660453676186433E-3</v>
      </c>
      <c r="L38" s="55">
        <f t="shared" si="27"/>
        <v>7.8816719410437809E-3</v>
      </c>
      <c r="M38" s="55">
        <f t="shared" si="27"/>
        <v>-0.83304567585959233</v>
      </c>
      <c r="N38" s="55">
        <f t="shared" si="27"/>
        <v>-1.6890878567431449</v>
      </c>
      <c r="O38" s="55">
        <f t="shared" si="27"/>
        <v>0.8794660645504051</v>
      </c>
      <c r="P38" s="55">
        <f t="shared" si="27"/>
        <v>-11.178362573099415</v>
      </c>
      <c r="Q38" s="55">
        <f t="shared" si="27"/>
        <v>0.67393581563660609</v>
      </c>
      <c r="R38" s="55">
        <f t="shared" si="27"/>
        <v>0.42973675773875253</v>
      </c>
      <c r="S38" s="55">
        <f t="shared" si="27"/>
        <v>0.41088934804589622</v>
      </c>
      <c r="T38" s="55">
        <f t="shared" si="27"/>
        <v>-6.5031812513987902E-2</v>
      </c>
      <c r="U38" s="55">
        <f t="shared" si="27"/>
        <v>8.2197128956694093E-2</v>
      </c>
      <c r="V38" s="55">
        <f t="shared" si="27"/>
        <v>-5.7560334920374323E-2</v>
      </c>
      <c r="W38" s="55">
        <f t="shared" si="27"/>
        <v>-6.5239294710327453E-2</v>
      </c>
      <c r="X38" s="55">
        <f t="shared" si="27"/>
        <v>8.0176056338028184E-2</v>
      </c>
      <c r="Y38" s="55">
        <f t="shared" si="27"/>
        <v>9.9709090909090914E-2</v>
      </c>
      <c r="Z38" s="55">
        <f t="shared" si="27"/>
        <v>0.17841935483870966</v>
      </c>
      <c r="AA38" s="55">
        <f t="shared" si="27"/>
        <v>9.3572296476306202E-2</v>
      </c>
      <c r="AB38" s="55">
        <f t="shared" si="27"/>
        <v>0.16181818181818181</v>
      </c>
      <c r="AC38" s="55">
        <f t="shared" si="27"/>
        <v>0.199025069637883</v>
      </c>
      <c r="AD38" s="55">
        <f t="shared" ref="AD38:AE38" si="28">AD8/AD23</f>
        <v>3.761102603369066E-2</v>
      </c>
      <c r="AE38" s="55">
        <f t="shared" si="28"/>
        <v>0.16793893129770993</v>
      </c>
      <c r="AF38" s="1"/>
      <c r="AG38" s="1"/>
      <c r="AH38" s="1"/>
    </row>
    <row r="39" spans="1:34" x14ac:dyDescent="0.3">
      <c r="A39" s="16" t="s">
        <v>79</v>
      </c>
      <c r="B39" s="2" t="s">
        <v>40</v>
      </c>
      <c r="C39" s="1" t="s">
        <v>107</v>
      </c>
      <c r="D39" s="56" t="e">
        <f t="shared" ref="D39:AC39" si="29">D12/D23</f>
        <v>#DIV/0!</v>
      </c>
      <c r="E39" s="56" t="e">
        <f t="shared" si="29"/>
        <v>#DIV/0!</v>
      </c>
      <c r="F39" s="56" t="e">
        <f t="shared" si="29"/>
        <v>#DIV/0!</v>
      </c>
      <c r="G39" s="56" t="e">
        <f t="shared" si="29"/>
        <v>#DIV/0!</v>
      </c>
      <c r="H39" s="56">
        <f t="shared" si="29"/>
        <v>0.11596759636480947</v>
      </c>
      <c r="I39" s="56">
        <f t="shared" si="29"/>
        <v>-3.3853184849261135E-2</v>
      </c>
      <c r="J39" s="56">
        <f t="shared" si="29"/>
        <v>3.6055254990891355E-3</v>
      </c>
      <c r="K39" s="56">
        <f t="shared" si="29"/>
        <v>4.6574807311416996E-3</v>
      </c>
      <c r="L39" s="56">
        <f t="shared" si="29"/>
        <v>-1.3321315029759841E-2</v>
      </c>
      <c r="M39" s="56">
        <f t="shared" si="29"/>
        <v>-1.8372787879328101</v>
      </c>
      <c r="N39" s="56">
        <f t="shared" si="29"/>
        <v>-1.5478455512031337</v>
      </c>
      <c r="O39" s="56">
        <f t="shared" si="29"/>
        <v>1.2169610838092708</v>
      </c>
      <c r="P39" s="56">
        <f t="shared" si="29"/>
        <v>-14.500974658869396</v>
      </c>
      <c r="Q39" s="56">
        <f t="shared" si="29"/>
        <v>1.1776973621559852</v>
      </c>
      <c r="R39" s="56">
        <f t="shared" si="29"/>
        <v>0.65532718270224055</v>
      </c>
      <c r="S39" s="56">
        <f t="shared" si="29"/>
        <v>0.40409724359256166</v>
      </c>
      <c r="T39" s="56">
        <f t="shared" si="29"/>
        <v>-0.11980049237458835</v>
      </c>
      <c r="U39" s="56">
        <f t="shared" si="29"/>
        <v>2.7028650369391552E-4</v>
      </c>
      <c r="V39" s="56">
        <f t="shared" si="29"/>
        <v>-0.11669676571991464</v>
      </c>
      <c r="W39" s="56">
        <f t="shared" si="29"/>
        <v>-0.1444764303706369</v>
      </c>
      <c r="X39" s="56">
        <f t="shared" si="29"/>
        <v>-6.9401408450704236E-2</v>
      </c>
      <c r="Y39" s="56">
        <f t="shared" si="29"/>
        <v>-2.9599999999999998E-2</v>
      </c>
      <c r="Z39" s="56">
        <f t="shared" si="29"/>
        <v>5.6161290322580645E-2</v>
      </c>
      <c r="AA39" s="56">
        <f t="shared" si="29"/>
        <v>5.1251518833535847E-2</v>
      </c>
      <c r="AB39" s="56">
        <f t="shared" si="29"/>
        <v>7.5313131313131318E-2</v>
      </c>
      <c r="AC39" s="56">
        <f t="shared" si="29"/>
        <v>0.10381615598885793</v>
      </c>
      <c r="AD39" s="56">
        <f t="shared" ref="AD39:AE39" si="30">AD12/AD23</f>
        <v>-3.2572741194486984E-2</v>
      </c>
      <c r="AE39" s="56">
        <f t="shared" si="30"/>
        <v>0.10687022900763359</v>
      </c>
      <c r="AF39" s="1"/>
      <c r="AG39" s="1"/>
      <c r="AH39" s="1"/>
    </row>
    <row r="40" spans="1:34" x14ac:dyDescent="0.3">
      <c r="A40" s="18" t="s">
        <v>80</v>
      </c>
      <c r="B40" s="17" t="s">
        <v>41</v>
      </c>
      <c r="C40" s="6" t="s">
        <v>61</v>
      </c>
      <c r="D40" s="7">
        <f t="shared" ref="D40:AC40" si="31">D20-D19</f>
        <v>0</v>
      </c>
      <c r="E40" s="7">
        <f t="shared" si="31"/>
        <v>0</v>
      </c>
      <c r="F40" s="7">
        <f t="shared" si="31"/>
        <v>0</v>
      </c>
      <c r="G40" s="7">
        <f t="shared" si="31"/>
        <v>0</v>
      </c>
      <c r="H40" s="7">
        <f t="shared" si="31"/>
        <v>-2.197579999999995</v>
      </c>
      <c r="I40" s="7">
        <f t="shared" si="31"/>
        <v>-7.4897750000000016</v>
      </c>
      <c r="J40" s="7">
        <f t="shared" si="31"/>
        <v>-24.88308</v>
      </c>
      <c r="K40" s="7">
        <f t="shared" si="31"/>
        <v>-28.44757899999999</v>
      </c>
      <c r="L40" s="7">
        <f t="shared" si="31"/>
        <v>-44.60540300000001</v>
      </c>
      <c r="M40" s="7">
        <f t="shared" si="31"/>
        <v>-35.004850000000005</v>
      </c>
      <c r="N40" s="7">
        <f t="shared" si="31"/>
        <v>-68.725000000000009</v>
      </c>
      <c r="O40" s="7">
        <f t="shared" si="31"/>
        <v>-82.617999999999981</v>
      </c>
      <c r="P40" s="7">
        <f t="shared" si="31"/>
        <v>-25.085999999999991</v>
      </c>
      <c r="Q40" s="7">
        <f t="shared" si="31"/>
        <v>-4.2050000000000054</v>
      </c>
      <c r="R40" s="7">
        <f t="shared" si="31"/>
        <v>-14.175999999999995</v>
      </c>
      <c r="S40" s="7">
        <f t="shared" si="31"/>
        <v>-34.343000000000004</v>
      </c>
      <c r="T40" s="7">
        <f t="shared" si="31"/>
        <v>36.873999999999995</v>
      </c>
      <c r="U40" s="7">
        <f t="shared" si="31"/>
        <v>32.03</v>
      </c>
      <c r="V40" s="7">
        <f t="shared" si="31"/>
        <v>28.027999999999999</v>
      </c>
      <c r="W40" s="7">
        <f t="shared" si="31"/>
        <v>17.602999999999998</v>
      </c>
      <c r="X40" s="7">
        <f t="shared" si="31"/>
        <v>12.246000000000002</v>
      </c>
      <c r="Y40" s="7">
        <f t="shared" si="31"/>
        <v>9.4769999999999968</v>
      </c>
      <c r="Z40" s="7">
        <f t="shared" si="31"/>
        <v>9.929000000000002</v>
      </c>
      <c r="AA40" s="7">
        <f t="shared" si="31"/>
        <v>2.6400000000000006</v>
      </c>
      <c r="AB40" s="7">
        <f t="shared" si="31"/>
        <v>-18.300000000000011</v>
      </c>
      <c r="AC40" s="7">
        <f t="shared" si="31"/>
        <v>0.5</v>
      </c>
      <c r="AD40" s="7">
        <f t="shared" ref="AD40:AE40" si="32">AD20-AD19</f>
        <v>11.599999999999994</v>
      </c>
      <c r="AE40" s="7">
        <f t="shared" si="32"/>
        <v>23.799999999999997</v>
      </c>
      <c r="AF40" s="1"/>
      <c r="AG40" s="1"/>
      <c r="AH40" s="1"/>
    </row>
    <row r="41" spans="1:34" x14ac:dyDescent="0.3">
      <c r="A41" s="53" t="s">
        <v>96</v>
      </c>
      <c r="B41" s="49" t="s">
        <v>42</v>
      </c>
      <c r="C41" s="52" t="s">
        <v>98</v>
      </c>
      <c r="D41" s="29" t="e">
        <f>D20/D19</f>
        <v>#DIV/0!</v>
      </c>
      <c r="E41" s="29" t="e">
        <f t="shared" ref="E41:AC41" si="33">E20/E19</f>
        <v>#DIV/0!</v>
      </c>
      <c r="F41" s="29" t="e">
        <f t="shared" si="33"/>
        <v>#DIV/0!</v>
      </c>
      <c r="G41" s="29" t="e">
        <f t="shared" si="33"/>
        <v>#DIV/0!</v>
      </c>
      <c r="H41" s="29">
        <f t="shared" si="33"/>
        <v>0.95870097058112724</v>
      </c>
      <c r="I41" s="29">
        <f t="shared" si="33"/>
        <v>0.87741520977604603</v>
      </c>
      <c r="J41" s="29">
        <f t="shared" si="33"/>
        <v>0.6856074820200605</v>
      </c>
      <c r="K41" s="29">
        <f t="shared" si="33"/>
        <v>0.7447522587422053</v>
      </c>
      <c r="L41" s="29">
        <f t="shared" si="33"/>
        <v>0.74033308784393181</v>
      </c>
      <c r="M41" s="29">
        <f t="shared" si="33"/>
        <v>0.82437720115812707</v>
      </c>
      <c r="N41" s="29">
        <f t="shared" si="33"/>
        <v>0.53390031672397531</v>
      </c>
      <c r="O41" s="29">
        <f t="shared" si="33"/>
        <v>0.46578123787600556</v>
      </c>
      <c r="P41" s="29">
        <f t="shared" si="33"/>
        <v>0.61913003871555461</v>
      </c>
      <c r="Q41" s="29">
        <f t="shared" si="33"/>
        <v>0.89821605789945036</v>
      </c>
      <c r="R41" s="29">
        <f t="shared" si="33"/>
        <v>0.70416744923725461</v>
      </c>
      <c r="S41" s="29">
        <f t="shared" si="33"/>
        <v>0.45398031702624925</v>
      </c>
      <c r="T41" s="29">
        <f t="shared" si="33"/>
        <v>3.0365624654810555</v>
      </c>
      <c r="U41" s="29">
        <f t="shared" si="33"/>
        <v>3.0379207227842464</v>
      </c>
      <c r="V41" s="29">
        <f t="shared" si="33"/>
        <v>2.6302931596091206</v>
      </c>
      <c r="W41" s="29">
        <f t="shared" si="33"/>
        <v>1.6724348689739474</v>
      </c>
      <c r="X41" s="29">
        <f t="shared" si="33"/>
        <v>1.3508279378903341</v>
      </c>
      <c r="Y41" s="29">
        <f t="shared" si="33"/>
        <v>1.2350271557175805</v>
      </c>
      <c r="Z41" s="29">
        <f t="shared" si="33"/>
        <v>1.2356529168842265</v>
      </c>
      <c r="AA41" s="29">
        <f t="shared" si="33"/>
        <v>1.0478078991687945</v>
      </c>
      <c r="AB41" s="29">
        <f t="shared" si="33"/>
        <v>0.79756637168141586</v>
      </c>
      <c r="AC41" s="29">
        <f t="shared" si="33"/>
        <v>1.006281407035176</v>
      </c>
      <c r="AD41" s="29">
        <f t="shared" ref="AD41:AE41" si="34">AD20/AD19</f>
        <v>1.1826771653543307</v>
      </c>
      <c r="AE41" s="29">
        <f t="shared" si="34"/>
        <v>1.4383057090239411</v>
      </c>
      <c r="AF41" s="1"/>
      <c r="AG41" s="1"/>
      <c r="AH41" s="1"/>
    </row>
    <row r="42" spans="1:34" x14ac:dyDescent="0.3">
      <c r="A42" s="16" t="s">
        <v>81</v>
      </c>
      <c r="B42" s="17" t="s">
        <v>43</v>
      </c>
      <c r="C42" s="1" t="s">
        <v>60</v>
      </c>
      <c r="D42" s="30" t="e">
        <f t="shared" ref="D42" si="35">(D20-D21)/D19</f>
        <v>#DIV/0!</v>
      </c>
      <c r="E42" s="30" t="e">
        <f t="shared" ref="E42:AC42" si="36">(E20-E21)/E19</f>
        <v>#DIV/0!</v>
      </c>
      <c r="F42" s="30" t="e">
        <f t="shared" si="36"/>
        <v>#DIV/0!</v>
      </c>
      <c r="G42" s="30" t="e">
        <f t="shared" si="36"/>
        <v>#DIV/0!</v>
      </c>
      <c r="H42" s="30">
        <f t="shared" si="36"/>
        <v>0.50472154285677784</v>
      </c>
      <c r="I42" s="30">
        <f t="shared" si="36"/>
        <v>0.41009363042406938</v>
      </c>
      <c r="J42" s="30">
        <f t="shared" si="36"/>
        <v>0.28699296267404739</v>
      </c>
      <c r="K42" s="30">
        <f t="shared" si="36"/>
        <v>0.37176507080183469</v>
      </c>
      <c r="L42" s="30">
        <f t="shared" si="36"/>
        <v>0.4509069107333124</v>
      </c>
      <c r="M42" s="30">
        <f t="shared" si="36"/>
        <v>0.58828207856606485</v>
      </c>
      <c r="N42" s="30">
        <f t="shared" si="36"/>
        <v>0.16121725094440709</v>
      </c>
      <c r="O42" s="30">
        <f t="shared" si="36"/>
        <v>0.15504487494503796</v>
      </c>
      <c r="P42" s="30">
        <f t="shared" si="36"/>
        <v>0.24990510893494278</v>
      </c>
      <c r="Q42" s="30">
        <f t="shared" si="36"/>
        <v>0.35369012175344317</v>
      </c>
      <c r="R42" s="30">
        <f t="shared" si="36"/>
        <v>0.24330641290511076</v>
      </c>
      <c r="S42" s="30">
        <f t="shared" si="36"/>
        <v>0.21520899247976849</v>
      </c>
      <c r="T42" s="30">
        <f t="shared" si="36"/>
        <v>2.0470562244559809</v>
      </c>
      <c r="U42" s="30">
        <f t="shared" si="36"/>
        <v>1.7589870840491189</v>
      </c>
      <c r="V42" s="30">
        <f t="shared" si="36"/>
        <v>1.1043508608655186</v>
      </c>
      <c r="W42" s="30">
        <f t="shared" si="36"/>
        <v>0.53147681259072499</v>
      </c>
      <c r="X42" s="30">
        <f t="shared" si="36"/>
        <v>0.46668194579728423</v>
      </c>
      <c r="Y42" s="30">
        <f t="shared" si="36"/>
        <v>0.39250551794261335</v>
      </c>
      <c r="Z42" s="30">
        <f t="shared" si="36"/>
        <v>0.40162339203493624</v>
      </c>
      <c r="AA42" s="30">
        <f t="shared" si="36"/>
        <v>0.44059325256695819</v>
      </c>
      <c r="AB42" s="30">
        <f t="shared" si="36"/>
        <v>0.3926991150442477</v>
      </c>
      <c r="AC42" s="30">
        <f t="shared" si="36"/>
        <v>0.48115577889447236</v>
      </c>
      <c r="AD42" s="30">
        <f t="shared" ref="AD42:AE42" si="37">(AD20-AD21)/AD19</f>
        <v>0.50551181102362197</v>
      </c>
      <c r="AE42" s="30">
        <f t="shared" si="37"/>
        <v>0.62062615101289131</v>
      </c>
      <c r="AF42" s="1"/>
      <c r="AG42" s="1"/>
      <c r="AH42" s="1"/>
    </row>
    <row r="43" spans="1:34" x14ac:dyDescent="0.3">
      <c r="A43" s="18" t="s">
        <v>82</v>
      </c>
      <c r="B43" s="49" t="s">
        <v>44</v>
      </c>
      <c r="C43" s="6" t="s">
        <v>62</v>
      </c>
      <c r="D43" s="29" t="e">
        <f t="shared" ref="D43" si="38">D14/D19</f>
        <v>#DIV/0!</v>
      </c>
      <c r="E43" s="29" t="e">
        <f t="shared" ref="E43:AC43" si="39">E14/E19</f>
        <v>#DIV/0!</v>
      </c>
      <c r="F43" s="29" t="e">
        <f t="shared" si="39"/>
        <v>#DIV/0!</v>
      </c>
      <c r="G43" s="29" t="e">
        <f t="shared" si="39"/>
        <v>#DIV/0!</v>
      </c>
      <c r="H43" s="29">
        <f t="shared" si="39"/>
        <v>0.11094676669030823</v>
      </c>
      <c r="I43" s="29">
        <f t="shared" si="39"/>
        <v>3.6928590823409907E-2</v>
      </c>
      <c r="J43" s="29">
        <f t="shared" si="39"/>
        <v>9.1109478696099651E-3</v>
      </c>
      <c r="K43" s="29">
        <f t="shared" si="39"/>
        <v>1.7229118610171269E-2</v>
      </c>
      <c r="L43" s="29">
        <f t="shared" si="39"/>
        <v>1.0671832364444821E-2</v>
      </c>
      <c r="M43" s="29">
        <f t="shared" si="39"/>
        <v>2.1979910833105848E-3</v>
      </c>
      <c r="N43" s="29">
        <f t="shared" si="39"/>
        <v>9.0744470894626554E-3</v>
      </c>
      <c r="O43" s="29">
        <f t="shared" si="39"/>
        <v>2.1014923828983787E-3</v>
      </c>
      <c r="P43" s="29">
        <f t="shared" si="39"/>
        <v>6.4677749943065363E-3</v>
      </c>
      <c r="Q43" s="29">
        <f t="shared" si="39"/>
        <v>5.7851039624331321E-3</v>
      </c>
      <c r="R43" s="29">
        <f t="shared" si="39"/>
        <v>6.8448840752102511E-3</v>
      </c>
      <c r="S43" s="29">
        <f t="shared" si="39"/>
        <v>2.2163219231441881E-2</v>
      </c>
      <c r="T43" s="29">
        <f t="shared" si="39"/>
        <v>1.4536065392687505</v>
      </c>
      <c r="U43" s="29">
        <f t="shared" si="39"/>
        <v>1.0462556467519246</v>
      </c>
      <c r="V43" s="29">
        <f t="shared" si="39"/>
        <v>0.40675895765472314</v>
      </c>
      <c r="W43" s="29">
        <f t="shared" si="39"/>
        <v>0.15490106196042477</v>
      </c>
      <c r="X43" s="29">
        <f t="shared" si="39"/>
        <v>5.4431902824729275E-2</v>
      </c>
      <c r="Y43" s="29">
        <f t="shared" si="39"/>
        <v>5.455943258190115E-2</v>
      </c>
      <c r="Z43" s="29">
        <f t="shared" si="39"/>
        <v>3.7974082688565058E-2</v>
      </c>
      <c r="AA43" s="29">
        <f t="shared" si="39"/>
        <v>8.6923453034171788E-2</v>
      </c>
      <c r="AB43" s="29">
        <f t="shared" si="39"/>
        <v>0.12278761061946901</v>
      </c>
      <c r="AC43" s="29">
        <f t="shared" si="39"/>
        <v>0.18216080402010051</v>
      </c>
      <c r="AD43" s="29">
        <f t="shared" ref="AD43:AE43" si="40">AD14/AD19</f>
        <v>0.27559055118110237</v>
      </c>
      <c r="AE43" s="29">
        <f t="shared" si="40"/>
        <v>0.287292817679558</v>
      </c>
      <c r="AF43" s="1"/>
      <c r="AG43" s="1"/>
      <c r="AH43" s="1"/>
    </row>
    <row r="44" spans="1:34" x14ac:dyDescent="0.3">
      <c r="A44" s="16" t="s">
        <v>83</v>
      </c>
      <c r="B44" s="17" t="s">
        <v>45</v>
      </c>
      <c r="C44" s="1" t="s">
        <v>63</v>
      </c>
      <c r="D44" s="30" t="e">
        <f t="shared" ref="D44:AC44" si="41">D29/D7</f>
        <v>#DIV/0!</v>
      </c>
      <c r="E44" s="30" t="e">
        <f t="shared" si="41"/>
        <v>#DIV/0!</v>
      </c>
      <c r="F44" s="30" t="e">
        <f t="shared" si="41"/>
        <v>#DIV/0!</v>
      </c>
      <c r="G44" s="30" t="e">
        <f t="shared" si="41"/>
        <v>#DIV/0!</v>
      </c>
      <c r="H44" s="30">
        <f t="shared" si="41"/>
        <v>5.8150126200859544</v>
      </c>
      <c r="I44" s="30">
        <f t="shared" si="41"/>
        <v>10.692507199158426</v>
      </c>
      <c r="J44" s="30">
        <f t="shared" si="41"/>
        <v>15.725385304659493</v>
      </c>
      <c r="K44" s="30">
        <f t="shared" si="41"/>
        <v>-626.81736362247239</v>
      </c>
      <c r="L44" s="30">
        <f t="shared" si="41"/>
        <v>218.26215660274721</v>
      </c>
      <c r="M44" s="30">
        <f t="shared" si="41"/>
        <v>-11.192158203375</v>
      </c>
      <c r="N44" s="30">
        <f t="shared" si="41"/>
        <v>-40.642980935875215</v>
      </c>
      <c r="O44" s="30">
        <f t="shared" si="41"/>
        <v>-42.614797611147971</v>
      </c>
      <c r="P44" s="30">
        <f t="shared" si="41"/>
        <v>-34.188828678616098</v>
      </c>
      <c r="Q44" s="30">
        <f t="shared" si="41"/>
        <v>151.68686868686862</v>
      </c>
      <c r="R44" s="30">
        <f t="shared" si="41"/>
        <v>-154.34836702954883</v>
      </c>
      <c r="S44" s="30">
        <f t="shared" si="41"/>
        <v>-2.85622753555243</v>
      </c>
      <c r="T44" s="30">
        <f t="shared" si="41"/>
        <v>-54.312849162011076</v>
      </c>
      <c r="U44" s="30">
        <f t="shared" si="41"/>
        <v>-0.15676416819012795</v>
      </c>
      <c r="V44" s="30">
        <f t="shared" si="41"/>
        <v>5.1930309734513278</v>
      </c>
      <c r="W44" s="30">
        <f t="shared" si="41"/>
        <v>12.811700182815356</v>
      </c>
      <c r="X44" s="30">
        <f t="shared" si="41"/>
        <v>10.554026564556658</v>
      </c>
      <c r="Y44" s="30">
        <f t="shared" si="41"/>
        <v>10.658236423168116</v>
      </c>
      <c r="Z44" s="30">
        <f t="shared" si="41"/>
        <v>8.2092918358141631</v>
      </c>
      <c r="AA44" s="30">
        <f t="shared" si="41"/>
        <v>2.9472192702798448</v>
      </c>
      <c r="AB44" s="30">
        <f t="shared" si="41"/>
        <v>5.9501779359430609</v>
      </c>
      <c r="AC44" s="30">
        <f t="shared" si="41"/>
        <v>3.5703125</v>
      </c>
      <c r="AD44" s="30">
        <f t="shared" ref="AD44:AE44" si="42">AD29/AD7</f>
        <v>5.5153029356652086</v>
      </c>
      <c r="AE44" s="30">
        <f t="shared" si="42"/>
        <v>4.5142857142857151</v>
      </c>
      <c r="AF44" s="1"/>
      <c r="AG44" s="1"/>
      <c r="AH44" s="1"/>
    </row>
    <row r="45" spans="1:34" x14ac:dyDescent="0.3">
      <c r="A45" s="18" t="s">
        <v>84</v>
      </c>
      <c r="B45" s="54" t="s">
        <v>99</v>
      </c>
      <c r="C45" s="6" t="s">
        <v>64</v>
      </c>
      <c r="D45" s="29" t="e">
        <f t="shared" ref="D45:X45" si="43">D18/D23</f>
        <v>#DIV/0!</v>
      </c>
      <c r="E45" s="29" t="e">
        <f t="shared" si="43"/>
        <v>#DIV/0!</v>
      </c>
      <c r="F45" s="29" t="e">
        <f t="shared" si="43"/>
        <v>#DIV/0!</v>
      </c>
      <c r="G45" s="29" t="e">
        <f t="shared" si="43"/>
        <v>#DIV/0!</v>
      </c>
      <c r="H45" s="29">
        <f t="shared" si="43"/>
        <v>1.4686561026364779</v>
      </c>
      <c r="I45" s="29">
        <f t="shared" si="43"/>
        <v>1.909689628614623</v>
      </c>
      <c r="J45" s="29">
        <f t="shared" si="43"/>
        <v>2.2097680146538563</v>
      </c>
      <c r="K45" s="29">
        <f t="shared" si="43"/>
        <v>4.079145599802704</v>
      </c>
      <c r="L45" s="29">
        <f t="shared" si="43"/>
        <v>4.3705220759561785</v>
      </c>
      <c r="M45" s="29">
        <f t="shared" si="43"/>
        <v>14.141657940533724</v>
      </c>
      <c r="N45" s="29">
        <f t="shared" si="43"/>
        <v>22.142921096810298</v>
      </c>
      <c r="O45" s="29">
        <f t="shared" si="43"/>
        <v>-11.837561429140656</v>
      </c>
      <c r="P45" s="29">
        <f t="shared" si="43"/>
        <v>129.84600389863547</v>
      </c>
      <c r="Q45" s="29">
        <f t="shared" si="43"/>
        <v>-12.335968003047329</v>
      </c>
      <c r="R45" s="29">
        <f t="shared" si="43"/>
        <v>-4.915969080611263</v>
      </c>
      <c r="S45" s="29">
        <f t="shared" si="43"/>
        <v>-3.3228557611992788</v>
      </c>
      <c r="T45" s="29">
        <f t="shared" si="43"/>
        <v>3.202129360232759</v>
      </c>
      <c r="U45" s="29">
        <f t="shared" si="43"/>
        <v>2.9303261457144569</v>
      </c>
      <c r="V45" s="29">
        <f t="shared" si="43"/>
        <v>3.2829092103102937</v>
      </c>
      <c r="W45" s="29">
        <f t="shared" si="43"/>
        <v>4.2572148254767903</v>
      </c>
      <c r="X45" s="29">
        <f t="shared" si="43"/>
        <v>4.8485915492957741</v>
      </c>
      <c r="Y45" s="29">
        <f>X18/Y23</f>
        <v>5.0072727272727269</v>
      </c>
      <c r="Z45" s="29">
        <f>Y18/Z23</f>
        <v>4.6870967741935488</v>
      </c>
      <c r="AA45" s="29">
        <f>Z18/AA23</f>
        <v>1.7594167679222359</v>
      </c>
      <c r="AB45" s="29">
        <f>AA18/AB23</f>
        <v>1.9292929292929293</v>
      </c>
      <c r="AC45" s="29">
        <f>AB18/AC23</f>
        <v>2.2743732590529251</v>
      </c>
      <c r="AD45" s="29">
        <f t="shared" ref="AD45:AE45" si="44">AC18/AD23</f>
        <v>2.6370597243491578</v>
      </c>
      <c r="AE45" s="29">
        <f t="shared" si="44"/>
        <v>2.5068702290076335</v>
      </c>
      <c r="AF45" s="1"/>
      <c r="AG45" s="1"/>
      <c r="AH45" s="1"/>
    </row>
    <row r="46" spans="1:34" x14ac:dyDescent="0.3">
      <c r="A46" s="18" t="s">
        <v>97</v>
      </c>
      <c r="B46" s="17" t="s">
        <v>100</v>
      </c>
      <c r="C46" s="6" t="s">
        <v>111</v>
      </c>
      <c r="D46" s="28">
        <f t="shared" ref="D46:AE46" si="45">D13/D4</f>
        <v>0</v>
      </c>
      <c r="E46" s="28">
        <f t="shared" si="45"/>
        <v>0</v>
      </c>
      <c r="F46" s="28">
        <f t="shared" si="45"/>
        <v>0</v>
      </c>
      <c r="G46" s="28">
        <f t="shared" si="45"/>
        <v>0</v>
      </c>
      <c r="H46" s="28">
        <f t="shared" si="45"/>
        <v>0</v>
      </c>
      <c r="I46" s="28">
        <f t="shared" si="45"/>
        <v>0</v>
      </c>
      <c r="J46" s="28">
        <f t="shared" si="45"/>
        <v>0</v>
      </c>
      <c r="K46" s="28">
        <f t="shared" si="45"/>
        <v>3.8824737619918344E-4</v>
      </c>
      <c r="L46" s="28">
        <f t="shared" si="45"/>
        <v>1.0025588566165971E-3</v>
      </c>
      <c r="M46" s="28">
        <f t="shared" si="45"/>
        <v>0</v>
      </c>
      <c r="N46" s="28">
        <f t="shared" si="45"/>
        <v>0</v>
      </c>
      <c r="O46" s="28">
        <f t="shared" si="45"/>
        <v>0</v>
      </c>
      <c r="P46" s="28">
        <f t="shared" si="45"/>
        <v>0</v>
      </c>
      <c r="Q46" s="28">
        <f t="shared" si="45"/>
        <v>0</v>
      </c>
      <c r="R46" s="28">
        <f t="shared" si="45"/>
        <v>0</v>
      </c>
      <c r="S46" s="28">
        <f t="shared" si="45"/>
        <v>0</v>
      </c>
      <c r="T46" s="28">
        <f t="shared" si="45"/>
        <v>0</v>
      </c>
      <c r="U46" s="28">
        <f t="shared" si="45"/>
        <v>0</v>
      </c>
      <c r="V46" s="28">
        <f t="shared" si="45"/>
        <v>0</v>
      </c>
      <c r="W46" s="28">
        <f t="shared" si="45"/>
        <v>0</v>
      </c>
      <c r="X46" s="28">
        <f t="shared" si="45"/>
        <v>0</v>
      </c>
      <c r="Y46" s="28">
        <f t="shared" si="45"/>
        <v>0</v>
      </c>
      <c r="Z46" s="28">
        <f t="shared" si="45"/>
        <v>0</v>
      </c>
      <c r="AA46" s="28">
        <f t="shared" si="45"/>
        <v>0</v>
      </c>
      <c r="AB46" s="28">
        <f t="shared" si="45"/>
        <v>0</v>
      </c>
      <c r="AC46" s="28">
        <f t="shared" si="45"/>
        <v>0</v>
      </c>
      <c r="AD46" s="28">
        <f t="shared" si="45"/>
        <v>0</v>
      </c>
      <c r="AE46" s="28">
        <f t="shared" si="45"/>
        <v>0</v>
      </c>
      <c r="AF46" s="1"/>
      <c r="AG46" s="1"/>
      <c r="AH46" s="1"/>
    </row>
  </sheetData>
  <mergeCells count="2">
    <mergeCell ref="A6:A13"/>
    <mergeCell ref="A14:A23"/>
  </mergeCells>
  <pageMargins left="0.7" right="0.7" top="0.75" bottom="0.75" header="0.3" footer="0.3"/>
  <ignoredErrors>
    <ignoredError sqref="H11:I11" formula="1"/>
  </ignoredError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CAB8-2E71-44C9-AB1D-CE4589A8838D}">
  <sheetPr codeName="Planilha43"/>
  <dimension ref="A3:AB46"/>
  <sheetViews>
    <sheetView workbookViewId="0">
      <pane xSplit="3" ySplit="3" topLeftCell="I4" activePane="bottomRight" state="frozen"/>
      <selection activeCell="C22" sqref="C22"/>
      <selection pane="topRight" activeCell="C22" sqref="C22"/>
      <selection pane="bottomLeft" activeCell="C22" sqref="C22"/>
      <selection pane="bottomRight" activeCell="AA38" sqref="AA38:AA39"/>
    </sheetView>
  </sheetViews>
  <sheetFormatPr defaultRowHeight="14.4" x14ac:dyDescent="0.3"/>
  <cols>
    <col min="1" max="1" width="10" bestFit="1" customWidth="1"/>
    <col min="2" max="2" width="4" bestFit="1" customWidth="1"/>
    <col min="3" max="3" width="25.88671875" bestFit="1" customWidth="1"/>
    <col min="4" max="27" width="8.33203125" customWidth="1"/>
  </cols>
  <sheetData>
    <row r="3" spans="1:28" s="10" customFormat="1" x14ac:dyDescent="0.3">
      <c r="A3" s="9" t="s">
        <v>25</v>
      </c>
      <c r="B3" s="8" t="s">
        <v>23</v>
      </c>
      <c r="C3" s="9" t="s">
        <v>24</v>
      </c>
      <c r="D3" s="8">
        <v>98</v>
      </c>
      <c r="E3" s="8">
        <v>99</v>
      </c>
      <c r="F3" s="8">
        <v>2000</v>
      </c>
      <c r="G3" s="8">
        <v>1</v>
      </c>
      <c r="H3" s="8">
        <v>2</v>
      </c>
      <c r="I3" s="8">
        <v>3</v>
      </c>
      <c r="J3" s="8">
        <v>4</v>
      </c>
      <c r="K3" s="8">
        <v>5</v>
      </c>
      <c r="L3" s="8">
        <v>6</v>
      </c>
      <c r="M3" s="8">
        <v>7</v>
      </c>
      <c r="N3" s="8">
        <v>8</v>
      </c>
      <c r="O3" s="8">
        <v>9</v>
      </c>
      <c r="P3" s="8">
        <v>10</v>
      </c>
      <c r="Q3" s="8">
        <v>11</v>
      </c>
      <c r="R3" s="8">
        <v>12</v>
      </c>
      <c r="S3" s="8">
        <v>13</v>
      </c>
      <c r="T3" s="8">
        <v>14</v>
      </c>
      <c r="U3" s="8">
        <v>15</v>
      </c>
      <c r="V3" s="8">
        <v>16</v>
      </c>
      <c r="W3" s="8">
        <v>17</v>
      </c>
      <c r="X3" s="8">
        <v>18</v>
      </c>
      <c r="Y3" s="8">
        <v>19</v>
      </c>
      <c r="Z3" s="8">
        <v>20</v>
      </c>
      <c r="AA3" s="8" t="s">
        <v>3</v>
      </c>
      <c r="AB3" s="8" t="s">
        <v>94</v>
      </c>
    </row>
    <row r="4" spans="1:28" x14ac:dyDescent="0.3">
      <c r="A4" s="4" t="s">
        <v>5</v>
      </c>
      <c r="B4" s="11">
        <v>1</v>
      </c>
      <c r="C4" s="6" t="s">
        <v>4</v>
      </c>
      <c r="D4" s="19">
        <v>4.5999999999999996</v>
      </c>
      <c r="E4" s="19">
        <v>3.61</v>
      </c>
      <c r="F4" s="19">
        <v>3.04</v>
      </c>
      <c r="G4" s="19">
        <v>2.9</v>
      </c>
      <c r="H4" s="19">
        <v>3</v>
      </c>
      <c r="I4" s="19">
        <v>3.39</v>
      </c>
      <c r="J4" s="19">
        <v>3.6</v>
      </c>
      <c r="K4" s="19">
        <v>3.96</v>
      </c>
      <c r="L4" s="19">
        <v>5.9</v>
      </c>
      <c r="M4" s="19">
        <v>8.99</v>
      </c>
      <c r="N4" s="19">
        <v>7.71</v>
      </c>
      <c r="O4" s="19">
        <v>4.16</v>
      </c>
      <c r="P4" s="19">
        <v>2.4900000000000002</v>
      </c>
      <c r="Q4" s="19">
        <v>4</v>
      </c>
      <c r="R4" s="19">
        <v>0.96</v>
      </c>
      <c r="S4" s="19">
        <v>0.78</v>
      </c>
      <c r="T4" s="19">
        <v>0.91</v>
      </c>
      <c r="U4" s="19">
        <v>1.23</v>
      </c>
      <c r="V4" s="19">
        <v>1.0900000000000001</v>
      </c>
      <c r="W4" s="19">
        <v>2.65</v>
      </c>
      <c r="X4" s="19">
        <v>2.76</v>
      </c>
      <c r="Y4" s="19">
        <v>3.46</v>
      </c>
      <c r="Z4" s="19">
        <v>3</v>
      </c>
      <c r="AA4" s="19">
        <v>2.88</v>
      </c>
      <c r="AB4" s="1">
        <v>3.5</v>
      </c>
    </row>
    <row r="5" spans="1:28" x14ac:dyDescent="0.3">
      <c r="A5" s="5" t="s">
        <v>8</v>
      </c>
      <c r="B5" s="12">
        <v>3</v>
      </c>
      <c r="C5" s="1" t="s">
        <v>86</v>
      </c>
      <c r="D5" s="3">
        <v>35</v>
      </c>
      <c r="E5" s="3">
        <v>35</v>
      </c>
      <c r="F5" s="3">
        <v>35</v>
      </c>
      <c r="G5" s="3">
        <v>35</v>
      </c>
      <c r="H5" s="3">
        <v>35</v>
      </c>
      <c r="I5" s="3">
        <v>35</v>
      </c>
      <c r="J5" s="3">
        <v>35</v>
      </c>
      <c r="K5" s="3">
        <v>35</v>
      </c>
      <c r="L5" s="3">
        <v>35</v>
      </c>
      <c r="M5" s="3">
        <v>35</v>
      </c>
      <c r="N5" s="3">
        <v>35</v>
      </c>
      <c r="O5" s="3">
        <v>35</v>
      </c>
      <c r="P5" s="3">
        <v>35</v>
      </c>
      <c r="Q5" s="3">
        <v>35</v>
      </c>
      <c r="R5" s="3">
        <v>35</v>
      </c>
      <c r="S5" s="3">
        <v>35</v>
      </c>
      <c r="T5" s="3">
        <v>35</v>
      </c>
      <c r="U5" s="3">
        <v>35</v>
      </c>
      <c r="V5" s="3">
        <v>35</v>
      </c>
      <c r="W5" s="3">
        <v>35</v>
      </c>
      <c r="X5" s="3">
        <v>35</v>
      </c>
      <c r="Y5" s="3">
        <v>35</v>
      </c>
      <c r="Z5" s="3">
        <v>35</v>
      </c>
      <c r="AA5" s="3">
        <v>35</v>
      </c>
      <c r="AB5" s="3">
        <v>35</v>
      </c>
    </row>
    <row r="6" spans="1:28" x14ac:dyDescent="0.3">
      <c r="A6" s="101" t="s">
        <v>7</v>
      </c>
      <c r="B6" s="13">
        <v>4</v>
      </c>
      <c r="C6" s="6" t="s">
        <v>104</v>
      </c>
      <c r="D6" s="7">
        <v>462.22199999999998</v>
      </c>
      <c r="E6" s="7">
        <v>496.562928</v>
      </c>
      <c r="F6" s="7">
        <v>501.60608200000001</v>
      </c>
      <c r="G6" s="7">
        <v>449.17142999999999</v>
      </c>
      <c r="H6" s="7">
        <v>489.29401899999999</v>
      </c>
      <c r="I6" s="7">
        <v>474.44135399999999</v>
      </c>
      <c r="J6" s="7">
        <v>527.72053200000005</v>
      </c>
      <c r="K6" s="7">
        <v>563.434617</v>
      </c>
      <c r="L6" s="7">
        <v>484.69321600000001</v>
      </c>
      <c r="M6" s="7">
        <v>545.52980000000002</v>
      </c>
      <c r="N6" s="7">
        <v>535.37813400000005</v>
      </c>
      <c r="O6" s="7">
        <v>399.12491199999999</v>
      </c>
      <c r="P6" s="7">
        <v>426.3</v>
      </c>
      <c r="Q6" s="7">
        <v>293.24</v>
      </c>
      <c r="R6" s="7">
        <v>216.3</v>
      </c>
      <c r="S6" s="7">
        <v>222.9</v>
      </c>
      <c r="T6" s="7">
        <v>271.60000000000002</v>
      </c>
      <c r="U6" s="7">
        <v>319.3</v>
      </c>
      <c r="V6" s="7">
        <v>337</v>
      </c>
      <c r="W6" s="7">
        <v>390</v>
      </c>
      <c r="X6" s="7">
        <v>446.9</v>
      </c>
      <c r="Y6" s="7">
        <v>465.1</v>
      </c>
      <c r="Z6" s="7">
        <v>357.8</v>
      </c>
      <c r="AA6" s="7"/>
      <c r="AB6" s="1"/>
    </row>
    <row r="7" spans="1:28" x14ac:dyDescent="0.3">
      <c r="A7" s="101"/>
      <c r="B7" s="13">
        <v>5</v>
      </c>
      <c r="C7" s="1" t="s">
        <v>9</v>
      </c>
      <c r="D7" s="3">
        <v>35</v>
      </c>
      <c r="E7" s="3">
        <v>26.6</v>
      </c>
      <c r="F7" s="3">
        <v>25.64</v>
      </c>
      <c r="G7" s="3">
        <v>21.54</v>
      </c>
      <c r="H7" s="3">
        <v>28.029118</v>
      </c>
      <c r="I7" s="3">
        <v>24.918261000000001</v>
      </c>
      <c r="J7" s="3">
        <v>29.66</v>
      </c>
      <c r="K7" s="3">
        <v>33.64</v>
      </c>
      <c r="L7" s="3">
        <v>41.861199999999997</v>
      </c>
      <c r="M7" s="3">
        <v>35.55274</v>
      </c>
      <c r="N7" s="3">
        <v>28.3718</v>
      </c>
      <c r="O7" s="3">
        <v>33</v>
      </c>
      <c r="P7" s="3">
        <v>31.137</v>
      </c>
      <c r="Q7" s="3">
        <v>15.644</v>
      </c>
      <c r="R7" s="3">
        <v>15.226725</v>
      </c>
      <c r="S7" s="3">
        <v>15.38</v>
      </c>
      <c r="T7" s="3">
        <v>18.326000000000001</v>
      </c>
      <c r="U7" s="3">
        <v>23.931999999999999</v>
      </c>
      <c r="V7" s="3">
        <v>25.106000000000002</v>
      </c>
      <c r="W7" s="3">
        <v>34.04</v>
      </c>
      <c r="X7" s="3">
        <v>42.5</v>
      </c>
      <c r="Y7" s="3">
        <v>43.5</v>
      </c>
      <c r="Z7" s="3">
        <v>29.2</v>
      </c>
      <c r="AA7" s="3"/>
      <c r="AB7" s="1"/>
    </row>
    <row r="8" spans="1:28" x14ac:dyDescent="0.3">
      <c r="A8" s="101"/>
      <c r="B8" s="13">
        <v>6</v>
      </c>
      <c r="C8" s="6" t="s">
        <v>10</v>
      </c>
      <c r="D8" s="3">
        <v>25.24</v>
      </c>
      <c r="E8" s="3">
        <v>16.440000000000001</v>
      </c>
      <c r="F8" s="7">
        <v>17.927600000000002</v>
      </c>
      <c r="G8" s="7">
        <v>14.524800000000001</v>
      </c>
      <c r="H8" s="7">
        <v>3.1525110000000001</v>
      </c>
      <c r="I8" s="7">
        <v>-3.7047620000000001</v>
      </c>
      <c r="J8" s="7">
        <v>8.8484529999999992</v>
      </c>
      <c r="K8" s="7">
        <v>13.796904</v>
      </c>
      <c r="L8" s="7">
        <v>24.858163999999999</v>
      </c>
      <c r="M8" s="7">
        <v>16.049685</v>
      </c>
      <c r="N8" s="7">
        <v>7.9972450000000004</v>
      </c>
      <c r="O8" s="7">
        <v>14.48541</v>
      </c>
      <c r="P8" s="7">
        <v>13.133884999999999</v>
      </c>
      <c r="Q8" s="7">
        <v>-2.8314810000000001</v>
      </c>
      <c r="R8" s="7">
        <v>-1.0364409999999999</v>
      </c>
      <c r="S8" s="7">
        <v>2.2034229999999999</v>
      </c>
      <c r="T8" s="7">
        <v>6.2306359999999996</v>
      </c>
      <c r="U8" s="7">
        <v>10.269781999999999</v>
      </c>
      <c r="V8" s="7">
        <v>9.5649660000000001</v>
      </c>
      <c r="W8" s="7">
        <v>15.428542</v>
      </c>
      <c r="X8" s="7">
        <v>19.100000000000001</v>
      </c>
      <c r="Y8" s="7">
        <v>18.3</v>
      </c>
      <c r="Z8" s="7">
        <v>8.9</v>
      </c>
      <c r="AA8" s="7"/>
      <c r="AB8" s="1"/>
    </row>
    <row r="9" spans="1:28" x14ac:dyDescent="0.3">
      <c r="A9" s="101"/>
      <c r="B9" s="13">
        <v>11</v>
      </c>
      <c r="C9" s="1" t="s">
        <v>11</v>
      </c>
      <c r="D9" s="3">
        <v>-4.7530000000000001</v>
      </c>
      <c r="E9" s="3">
        <v>-4.34</v>
      </c>
      <c r="F9" s="3">
        <v>-5.0189000000000004</v>
      </c>
      <c r="G9" s="3">
        <v>-6.5576549999999996</v>
      </c>
      <c r="H9" s="3">
        <v>-6.6953579999999997</v>
      </c>
      <c r="I9" s="3">
        <v>-8.8621960000000009</v>
      </c>
      <c r="J9" s="3">
        <f>-(J8-J10)</f>
        <v>-0.92594899999999924</v>
      </c>
      <c r="K9" s="3">
        <f>-(K8-K10)</f>
        <v>-5.9355159999999998</v>
      </c>
      <c r="L9" s="3">
        <f t="shared" ref="L9:M9" si="0">-(L8-L10)</f>
        <v>-5.5825999999999993</v>
      </c>
      <c r="M9" s="3">
        <f t="shared" si="0"/>
        <v>-2.1684719999999995</v>
      </c>
      <c r="N9" s="3">
        <f t="shared" ref="N9" si="1">-(N8-N10)</f>
        <v>-4.146802000000001</v>
      </c>
      <c r="O9" s="3">
        <f t="shared" ref="O9" si="2">-(O8-O10)</f>
        <v>-0.25138300000000058</v>
      </c>
      <c r="P9" s="3">
        <f t="shared" ref="P9" si="3">-(P8-P10)</f>
        <v>1.4111050000000009</v>
      </c>
      <c r="Q9" s="3">
        <f t="shared" ref="Q9" si="4">-(Q8-Q10)</f>
        <v>0.95097600000000004</v>
      </c>
      <c r="R9" s="3">
        <f t="shared" ref="R9" si="5">-(R8-R10)</f>
        <v>-2.9038249999999999</v>
      </c>
      <c r="S9" s="3">
        <f t="shared" ref="S9" si="6">-(S8-S10)</f>
        <v>-1.7439009999999999</v>
      </c>
      <c r="T9" s="3">
        <f t="shared" ref="T9" si="7">-(T8-T10)</f>
        <v>-1.3430229999999996</v>
      </c>
      <c r="U9" s="3">
        <f t="shared" ref="U9" si="8">-(U8-U10)</f>
        <v>-2.1051519999999986</v>
      </c>
      <c r="V9" s="3">
        <f t="shared" ref="V9" si="9">-(V8-V10)</f>
        <v>-2.296754</v>
      </c>
      <c r="W9" s="3">
        <f t="shared" ref="W9" si="10">-(W8-W10)</f>
        <v>-2.575406000000001</v>
      </c>
      <c r="X9" s="3">
        <v>-1.677</v>
      </c>
      <c r="Y9" s="3">
        <v>-1.2</v>
      </c>
      <c r="Z9" s="3">
        <v>-1.6</v>
      </c>
      <c r="AA9" s="3"/>
      <c r="AB9" s="1"/>
    </row>
    <row r="10" spans="1:28" x14ac:dyDescent="0.3">
      <c r="A10" s="101"/>
      <c r="B10" s="13">
        <v>12</v>
      </c>
      <c r="C10" s="6" t="s">
        <v>12</v>
      </c>
      <c r="D10" s="7">
        <v>23.6</v>
      </c>
      <c r="E10" s="7">
        <v>13.612</v>
      </c>
      <c r="F10" s="7">
        <v>15.040941</v>
      </c>
      <c r="G10" s="7">
        <v>9.652431</v>
      </c>
      <c r="H10" s="7">
        <v>3.9087869999999998</v>
      </c>
      <c r="I10" s="7">
        <v>-8.1476939999999995</v>
      </c>
      <c r="J10" s="7">
        <v>7.922504</v>
      </c>
      <c r="K10" s="7">
        <v>7.8613879999999998</v>
      </c>
      <c r="L10" s="7">
        <v>19.275563999999999</v>
      </c>
      <c r="M10" s="7">
        <v>13.881213000000001</v>
      </c>
      <c r="N10" s="7">
        <v>3.8504429999999998</v>
      </c>
      <c r="O10" s="7">
        <v>14.234026999999999</v>
      </c>
      <c r="P10" s="7">
        <v>14.54499</v>
      </c>
      <c r="Q10" s="7">
        <v>-1.8805050000000001</v>
      </c>
      <c r="R10" s="7">
        <v>-3.9402659999999998</v>
      </c>
      <c r="S10" s="7">
        <v>0.45952199999999999</v>
      </c>
      <c r="T10" s="7">
        <v>4.887613</v>
      </c>
      <c r="U10" s="7">
        <v>8.1646300000000007</v>
      </c>
      <c r="V10" s="7">
        <v>7.2682120000000001</v>
      </c>
      <c r="W10" s="7">
        <v>12.853135999999999</v>
      </c>
      <c r="X10" s="7">
        <v>17.600000000000001</v>
      </c>
      <c r="Y10" s="7">
        <v>16.3</v>
      </c>
      <c r="Z10" s="7">
        <v>6.5</v>
      </c>
      <c r="AA10" s="7"/>
      <c r="AB10" s="1"/>
    </row>
    <row r="11" spans="1:28" x14ac:dyDescent="0.3">
      <c r="A11" s="101"/>
      <c r="B11" s="13">
        <v>13</v>
      </c>
      <c r="C11" s="1" t="s">
        <v>13</v>
      </c>
      <c r="D11" s="3">
        <f>D10-D12</f>
        <v>8.6300000000000008</v>
      </c>
      <c r="E11" s="3">
        <f>E10-E12</f>
        <v>1.3119999999999994</v>
      </c>
      <c r="F11" s="3">
        <v>4.7998770000000004</v>
      </c>
      <c r="G11" s="3">
        <v>3.1997650000000002</v>
      </c>
      <c r="H11" s="3">
        <v>3.1716169999999999</v>
      </c>
      <c r="I11" s="3">
        <v>0.54876400000000003</v>
      </c>
      <c r="J11" s="3">
        <v>2.454583</v>
      </c>
      <c r="K11" s="3">
        <v>3.273002</v>
      </c>
      <c r="L11" s="3">
        <v>4.4744429999999999</v>
      </c>
      <c r="M11" s="3">
        <v>4.5664579999999999</v>
      </c>
      <c r="N11" s="3">
        <v>2.2847369999999998</v>
      </c>
      <c r="O11" s="3">
        <v>3.9924680000000001</v>
      </c>
      <c r="P11" s="3">
        <v>2.6082800000000002</v>
      </c>
      <c r="Q11" s="3">
        <v>0.30663000000000001</v>
      </c>
      <c r="R11" s="3">
        <v>0.85121100000000005</v>
      </c>
      <c r="S11" s="3">
        <v>-0.46193800000000002</v>
      </c>
      <c r="T11" s="3">
        <v>0.92736200000000002</v>
      </c>
      <c r="U11" s="3">
        <v>1.997841</v>
      </c>
      <c r="V11" s="3">
        <v>1.265026</v>
      </c>
      <c r="W11" s="3">
        <v>3.4216739999999999</v>
      </c>
      <c r="X11" s="3">
        <v>4.8</v>
      </c>
      <c r="Y11" s="3">
        <v>4.7</v>
      </c>
      <c r="Z11" s="3">
        <v>2.1</v>
      </c>
      <c r="AA11" s="3"/>
      <c r="AB11" s="1"/>
    </row>
    <row r="12" spans="1:28" x14ac:dyDescent="0.3">
      <c r="A12" s="101"/>
      <c r="B12" s="13">
        <v>14</v>
      </c>
      <c r="C12" s="6" t="s">
        <v>105</v>
      </c>
      <c r="D12" s="7">
        <v>14.97</v>
      </c>
      <c r="E12" s="7">
        <v>12.3</v>
      </c>
      <c r="F12" s="7">
        <v>5.8463139999999996</v>
      </c>
      <c r="G12" s="7">
        <v>4.727678</v>
      </c>
      <c r="H12" s="7">
        <v>1.1299999999999999</v>
      </c>
      <c r="I12" s="7">
        <v>-7.9232149999999999</v>
      </c>
      <c r="J12" s="7">
        <v>5.0083260000000003</v>
      </c>
      <c r="K12" s="7">
        <v>4.7713390000000002</v>
      </c>
      <c r="L12" s="7">
        <v>14.707295</v>
      </c>
      <c r="M12" s="7">
        <v>9.7152960000000004</v>
      </c>
      <c r="N12" s="7">
        <v>1.797793</v>
      </c>
      <c r="O12" s="7">
        <v>10.379409000000001</v>
      </c>
      <c r="P12" s="7">
        <v>11.7</v>
      </c>
      <c r="Q12" s="7">
        <v>-2.2000000000000002</v>
      </c>
      <c r="R12" s="7">
        <v>-2.9</v>
      </c>
      <c r="S12" s="7">
        <v>0.1</v>
      </c>
      <c r="T12" s="7">
        <v>4</v>
      </c>
      <c r="U12" s="7">
        <v>6.1</v>
      </c>
      <c r="V12" s="7">
        <v>6</v>
      </c>
      <c r="W12" s="7">
        <v>9.3000000000000007</v>
      </c>
      <c r="X12" s="7">
        <v>12.8</v>
      </c>
      <c r="Y12" s="7">
        <v>11.6</v>
      </c>
      <c r="Z12" s="7">
        <v>4.5999999999999996</v>
      </c>
      <c r="AA12" s="7"/>
      <c r="AB12" s="1"/>
    </row>
    <row r="13" spans="1:28" x14ac:dyDescent="0.3">
      <c r="A13" s="101"/>
      <c r="B13" s="13">
        <v>2</v>
      </c>
      <c r="C13" s="1" t="s">
        <v>15</v>
      </c>
      <c r="D13" s="22">
        <v>0.08</v>
      </c>
      <c r="E13" s="22">
        <v>0.1</v>
      </c>
      <c r="F13" s="22">
        <v>0.104</v>
      </c>
      <c r="G13" s="22">
        <v>0.06</v>
      </c>
      <c r="H13" s="22">
        <v>0.06</v>
      </c>
      <c r="I13" s="22">
        <v>5.0999999999999997E-2</v>
      </c>
      <c r="J13" s="22">
        <v>5.0999999999999997E-2</v>
      </c>
      <c r="K13" s="22">
        <v>0.06</v>
      </c>
      <c r="L13" s="22">
        <v>0.1</v>
      </c>
      <c r="M13" s="22">
        <v>0.17</v>
      </c>
      <c r="N13" s="22">
        <v>0.25</v>
      </c>
      <c r="O13" s="22">
        <v>7.0000000000000007E-2</v>
      </c>
      <c r="P13" s="22">
        <v>0.15</v>
      </c>
      <c r="Q13" s="22">
        <v>0.19</v>
      </c>
      <c r="R13" s="22">
        <v>1E-4</v>
      </c>
      <c r="S13" s="22">
        <v>4.0000000000000002E-4</v>
      </c>
      <c r="T13" s="22">
        <v>2.0000000000000001E-4</v>
      </c>
      <c r="U13" s="22">
        <v>0.13</v>
      </c>
      <c r="V13" s="22">
        <v>0.16</v>
      </c>
      <c r="W13" s="22">
        <v>0.15</v>
      </c>
      <c r="X13" s="22">
        <v>0.18</v>
      </c>
      <c r="Y13" s="22">
        <v>0.18</v>
      </c>
      <c r="Z13" s="22">
        <v>0.13</v>
      </c>
      <c r="AA13" s="22"/>
      <c r="AB13" s="1"/>
    </row>
    <row r="14" spans="1:28" x14ac:dyDescent="0.3">
      <c r="A14" s="102" t="s">
        <v>14</v>
      </c>
      <c r="B14" s="14">
        <v>8</v>
      </c>
      <c r="C14" s="6" t="s">
        <v>16</v>
      </c>
      <c r="D14" s="7">
        <v>6.492</v>
      </c>
      <c r="E14" s="7">
        <v>3.9</v>
      </c>
      <c r="F14" s="7">
        <v>4.7466439999999999</v>
      </c>
      <c r="G14" s="7">
        <v>0.46359600000000001</v>
      </c>
      <c r="H14" s="7">
        <v>6.9039190000000001</v>
      </c>
      <c r="I14" s="7">
        <v>15.717904000000001</v>
      </c>
      <c r="J14" s="7">
        <v>18.380358999999999</v>
      </c>
      <c r="K14" s="7">
        <v>16.333258000000001</v>
      </c>
      <c r="L14" s="7">
        <v>8.8058479999999992</v>
      </c>
      <c r="M14" s="7">
        <v>4.5064330000000004</v>
      </c>
      <c r="N14" s="7">
        <v>15.634472000000001</v>
      </c>
      <c r="O14" s="7">
        <v>25.214005</v>
      </c>
      <c r="P14" s="7">
        <v>20.102374999999999</v>
      </c>
      <c r="Q14" s="7">
        <v>18.006246000000001</v>
      </c>
      <c r="R14" s="7">
        <v>7.5076989999999997</v>
      </c>
      <c r="S14" s="7">
        <v>7.6767799999999999</v>
      </c>
      <c r="T14" s="7">
        <v>12.530999</v>
      </c>
      <c r="U14" s="7">
        <v>11.364954000000001</v>
      </c>
      <c r="V14" s="7">
        <v>14.556190000000001</v>
      </c>
      <c r="W14" s="7">
        <v>17.267569999999999</v>
      </c>
      <c r="X14" s="7">
        <v>17.100000000000001</v>
      </c>
      <c r="Y14" s="7">
        <v>12.7</v>
      </c>
      <c r="Z14" s="7">
        <v>11.4</v>
      </c>
      <c r="AA14" s="7">
        <v>18.8</v>
      </c>
      <c r="AB14" s="1"/>
    </row>
    <row r="15" spans="1:28" x14ac:dyDescent="0.3">
      <c r="A15" s="103"/>
      <c r="B15" s="14">
        <v>7</v>
      </c>
      <c r="C15" s="1" t="s">
        <v>17</v>
      </c>
      <c r="D15" s="3">
        <v>97.99</v>
      </c>
      <c r="E15" s="3">
        <v>128.6</v>
      </c>
      <c r="F15" s="3">
        <v>132.578</v>
      </c>
      <c r="G15" s="3">
        <v>150.4</v>
      </c>
      <c r="H15" s="3">
        <v>182.42536000000001</v>
      </c>
      <c r="I15" s="3">
        <v>186.47753</v>
      </c>
      <c r="J15" s="3">
        <v>174.21</v>
      </c>
      <c r="K15" s="3">
        <v>141.97</v>
      </c>
      <c r="L15" s="3">
        <v>114.655</v>
      </c>
      <c r="M15" s="3">
        <v>98.07</v>
      </c>
      <c r="N15" s="3">
        <v>118.41</v>
      </c>
      <c r="O15" s="3">
        <v>75.757000000000005</v>
      </c>
      <c r="P15" s="3">
        <v>59.82</v>
      </c>
      <c r="Q15" s="3">
        <v>63.6</v>
      </c>
      <c r="R15" s="3">
        <v>40.43</v>
      </c>
      <c r="S15" s="3">
        <v>26.72</v>
      </c>
      <c r="T15" s="3">
        <v>50.9</v>
      </c>
      <c r="U15" s="3">
        <v>63.8</v>
      </c>
      <c r="V15" s="3">
        <v>69.221000000000004</v>
      </c>
      <c r="W15" s="3">
        <v>79.94</v>
      </c>
      <c r="X15" s="3">
        <v>91</v>
      </c>
      <c r="Y15" s="3">
        <v>44.2</v>
      </c>
      <c r="Z15" s="3">
        <v>44.3</v>
      </c>
      <c r="AA15" s="3">
        <v>48.6</v>
      </c>
      <c r="AB15" s="1"/>
    </row>
    <row r="16" spans="1:28" x14ac:dyDescent="0.3">
      <c r="A16" s="103"/>
      <c r="B16" s="14">
        <v>9</v>
      </c>
      <c r="C16" s="6" t="s">
        <v>92</v>
      </c>
      <c r="D16" s="7">
        <v>0</v>
      </c>
      <c r="E16" s="7">
        <v>0</v>
      </c>
      <c r="F16" s="7">
        <v>0</v>
      </c>
      <c r="G16" s="7">
        <v>0</v>
      </c>
      <c r="H16" s="7">
        <v>4.9089900000000002</v>
      </c>
      <c r="I16" s="7">
        <v>3.7150409999999998</v>
      </c>
      <c r="J16" s="7">
        <v>3.5995409999999999</v>
      </c>
      <c r="K16" s="7">
        <v>3.2382970000000002</v>
      </c>
      <c r="L16" s="7">
        <v>4.2855749999999997</v>
      </c>
      <c r="M16" s="7">
        <v>3.9360050000000002</v>
      </c>
      <c r="N16" s="7">
        <v>3.490459</v>
      </c>
      <c r="O16" s="7">
        <v>3.284681</v>
      </c>
      <c r="P16" s="7">
        <v>1.08182</v>
      </c>
      <c r="Q16" s="7">
        <v>1.0581799999999999</v>
      </c>
      <c r="R16" s="7">
        <v>0.81234600000000001</v>
      </c>
      <c r="S16" s="7">
        <v>1.64625</v>
      </c>
      <c r="T16" s="7">
        <v>1.630768</v>
      </c>
      <c r="U16" s="7">
        <v>1.647295</v>
      </c>
      <c r="V16" s="7">
        <v>1.2942610000000001</v>
      </c>
      <c r="W16" s="7">
        <v>1.4</v>
      </c>
      <c r="X16" s="7">
        <v>1.5</v>
      </c>
      <c r="Y16" s="7">
        <v>1.5</v>
      </c>
      <c r="Z16" s="7">
        <v>1.3</v>
      </c>
      <c r="AA16" s="7">
        <v>1.3</v>
      </c>
      <c r="AB16" s="1"/>
    </row>
    <row r="17" spans="1:28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1"/>
    </row>
    <row r="18" spans="1:28" x14ac:dyDescent="0.3">
      <c r="A18" s="103"/>
      <c r="B18" s="14">
        <v>15</v>
      </c>
      <c r="C18" s="6" t="s">
        <v>19</v>
      </c>
      <c r="D18" s="7">
        <v>159.35</v>
      </c>
      <c r="E18" s="7">
        <v>178.1</v>
      </c>
      <c r="F18" s="7">
        <v>191.34981199999999</v>
      </c>
      <c r="G18" s="7">
        <v>201.89852999999999</v>
      </c>
      <c r="H18" s="7">
        <v>256.37568499999998</v>
      </c>
      <c r="I18" s="7">
        <v>272.085848</v>
      </c>
      <c r="J18" s="7">
        <v>257.97000000000003</v>
      </c>
      <c r="K18" s="7">
        <v>240.8</v>
      </c>
      <c r="L18" s="7">
        <v>205.11</v>
      </c>
      <c r="M18" s="7">
        <v>195.2</v>
      </c>
      <c r="N18" s="7">
        <v>213.32</v>
      </c>
      <c r="O18" s="7">
        <v>153.56100000000001</v>
      </c>
      <c r="P18" s="7">
        <v>150.34299999999999</v>
      </c>
      <c r="Q18" s="7">
        <v>129.16999999999999</v>
      </c>
      <c r="R18" s="7">
        <v>84.75</v>
      </c>
      <c r="S18" s="7">
        <v>72.75</v>
      </c>
      <c r="T18" s="7">
        <v>120.9</v>
      </c>
      <c r="U18" s="7">
        <v>137.9</v>
      </c>
      <c r="V18" s="7">
        <v>149.4</v>
      </c>
      <c r="W18" s="7">
        <v>167.8</v>
      </c>
      <c r="X18" s="7">
        <v>183.7</v>
      </c>
      <c r="Y18" s="7">
        <v>169.2</v>
      </c>
      <c r="Z18" s="7">
        <v>159.19999999999999</v>
      </c>
      <c r="AA18" s="7">
        <v>183.3</v>
      </c>
      <c r="AB18" s="1"/>
    </row>
    <row r="19" spans="1:28" x14ac:dyDescent="0.3">
      <c r="A19" s="103"/>
      <c r="B19" s="14">
        <v>18</v>
      </c>
      <c r="C19" s="1" t="s">
        <v>21</v>
      </c>
      <c r="D19" s="3">
        <v>129.78</v>
      </c>
      <c r="E19" s="3">
        <v>131.31</v>
      </c>
      <c r="F19" s="3">
        <v>154.482415</v>
      </c>
      <c r="G19" s="3">
        <v>174.68228999999999</v>
      </c>
      <c r="H19" s="3">
        <v>164.86643100000001</v>
      </c>
      <c r="I19" s="3">
        <v>190.434045</v>
      </c>
      <c r="J19" s="3">
        <v>210.37661700000001</v>
      </c>
      <c r="K19" s="3">
        <v>197.44219100000001</v>
      </c>
      <c r="L19" s="3">
        <v>186.957615</v>
      </c>
      <c r="M19" s="3">
        <v>182.37061499999999</v>
      </c>
      <c r="N19" s="3">
        <v>200.324748</v>
      </c>
      <c r="O19" s="3">
        <v>140.73254800000001</v>
      </c>
      <c r="P19" s="3">
        <v>139.791494</v>
      </c>
      <c r="Q19" s="3">
        <v>118.09447</v>
      </c>
      <c r="R19" s="3">
        <v>65.437254999999993</v>
      </c>
      <c r="S19" s="3">
        <v>57.201760999999998</v>
      </c>
      <c r="T19" s="3">
        <v>88.988645000000005</v>
      </c>
      <c r="U19" s="3">
        <v>101.5</v>
      </c>
      <c r="V19" s="3">
        <v>104.7</v>
      </c>
      <c r="W19" s="3">
        <v>128.30000000000001</v>
      </c>
      <c r="X19" s="3">
        <v>132.30000000000001</v>
      </c>
      <c r="Y19" s="3">
        <v>118.9</v>
      </c>
      <c r="Z19" s="3">
        <v>116</v>
      </c>
      <c r="AA19" s="3">
        <v>128.5</v>
      </c>
      <c r="AB19" s="1"/>
    </row>
    <row r="20" spans="1:28" x14ac:dyDescent="0.3">
      <c r="A20" s="103"/>
      <c r="B20" s="14">
        <v>17</v>
      </c>
      <c r="C20" s="6" t="s">
        <v>22</v>
      </c>
      <c r="D20" s="7">
        <v>186.1</v>
      </c>
      <c r="E20" s="7">
        <v>203.2</v>
      </c>
      <c r="F20" s="7">
        <v>217.88</v>
      </c>
      <c r="G20" s="7">
        <v>209.7</v>
      </c>
      <c r="H20" s="7">
        <v>211.61</v>
      </c>
      <c r="I20" s="7">
        <v>217.62</v>
      </c>
      <c r="J20" s="7">
        <v>224.157139</v>
      </c>
      <c r="K20" s="7">
        <v>209.35083399999999</v>
      </c>
      <c r="L20" s="7">
        <v>183.96624600000001</v>
      </c>
      <c r="M20" s="7">
        <v>195.806151</v>
      </c>
      <c r="N20" s="7">
        <v>213.32098199999999</v>
      </c>
      <c r="O20" s="7">
        <v>176.724918</v>
      </c>
      <c r="P20" s="7">
        <v>167.43206699999999</v>
      </c>
      <c r="Q20" s="7">
        <v>146.45548700000001</v>
      </c>
      <c r="R20" s="7">
        <v>106.117074</v>
      </c>
      <c r="S20" s="7">
        <v>103.143119</v>
      </c>
      <c r="T20" s="7">
        <v>148.64437699999999</v>
      </c>
      <c r="U20" s="7">
        <v>157.83404899999999</v>
      </c>
      <c r="V20" s="7">
        <v>164.217015</v>
      </c>
      <c r="W20" s="7">
        <v>177.05588900000001</v>
      </c>
      <c r="X20" s="7">
        <v>185</v>
      </c>
      <c r="Y20" s="7">
        <v>178.6</v>
      </c>
      <c r="Z20" s="7">
        <v>146.4</v>
      </c>
      <c r="AA20" s="7">
        <v>162.30000000000001</v>
      </c>
      <c r="AB20" s="1"/>
    </row>
    <row r="21" spans="1:28" x14ac:dyDescent="0.3">
      <c r="A21" s="103"/>
      <c r="B21" s="14">
        <v>19</v>
      </c>
      <c r="C21" s="1" t="s">
        <v>88</v>
      </c>
      <c r="D21" s="3">
        <v>91.94</v>
      </c>
      <c r="E21" s="3">
        <v>95.4</v>
      </c>
      <c r="F21" s="3">
        <v>94.626048999999995</v>
      </c>
      <c r="G21" s="3">
        <v>100.16306</v>
      </c>
      <c r="H21" s="3">
        <v>127.069964</v>
      </c>
      <c r="I21" s="3">
        <v>123.385531</v>
      </c>
      <c r="J21" s="3">
        <v>126.771272</v>
      </c>
      <c r="K21" s="3">
        <v>110.683519</v>
      </c>
      <c r="L21" s="3">
        <v>95.098163999999997</v>
      </c>
      <c r="M21" s="3">
        <v>109.925764</v>
      </c>
      <c r="N21" s="3">
        <v>105.692852</v>
      </c>
      <c r="O21" s="3">
        <v>69.173276999999999</v>
      </c>
      <c r="P21" s="3">
        <v>66.797892000000004</v>
      </c>
      <c r="Q21" s="3">
        <v>69.020200000000003</v>
      </c>
      <c r="R21" s="3">
        <v>44.835858999999999</v>
      </c>
      <c r="S21" s="3">
        <v>43.293137000000002</v>
      </c>
      <c r="T21" s="3">
        <v>69.990055999999996</v>
      </c>
      <c r="U21" s="3">
        <v>82.163202999999996</v>
      </c>
      <c r="V21" s="3">
        <v>82.791897000000006</v>
      </c>
      <c r="W21" s="3">
        <v>96.002213999999995</v>
      </c>
      <c r="X21" s="3">
        <v>99.1</v>
      </c>
      <c r="Y21" s="3">
        <v>105.5</v>
      </c>
      <c r="Z21" s="3">
        <v>78.7</v>
      </c>
      <c r="AA21" s="3">
        <v>80.7</v>
      </c>
      <c r="AB21" s="1"/>
    </row>
    <row r="22" spans="1:28" x14ac:dyDescent="0.3">
      <c r="A22" s="103"/>
      <c r="B22" s="14">
        <v>20</v>
      </c>
      <c r="C22" s="6" t="s">
        <v>87</v>
      </c>
      <c r="D22" s="7">
        <v>87.662000000000006</v>
      </c>
      <c r="E22" s="7">
        <v>103.9</v>
      </c>
      <c r="F22" s="7">
        <v>118.515728</v>
      </c>
      <c r="G22" s="7">
        <v>109.049487</v>
      </c>
      <c r="H22" s="7">
        <v>77.614352999999994</v>
      </c>
      <c r="I22" s="7">
        <v>77.845449000000002</v>
      </c>
      <c r="J22" s="7">
        <v>70.946757000000005</v>
      </c>
      <c r="K22" s="7">
        <v>71.821001999999993</v>
      </c>
      <c r="L22" s="7">
        <v>71.262919999999994</v>
      </c>
      <c r="M22" s="7">
        <v>70.219441000000003</v>
      </c>
      <c r="N22" s="7">
        <v>72.117474000000001</v>
      </c>
      <c r="O22" s="7">
        <v>62.017688</v>
      </c>
      <c r="P22" s="7">
        <v>68.808514000000002</v>
      </c>
      <c r="Q22" s="7">
        <v>50.053167999999999</v>
      </c>
      <c r="R22" s="7">
        <v>42.891843999999999</v>
      </c>
      <c r="S22" s="7">
        <v>44.361618999999997</v>
      </c>
      <c r="T22" s="7">
        <v>57.5</v>
      </c>
      <c r="U22" s="7">
        <v>56.8</v>
      </c>
      <c r="V22" s="7">
        <v>57.9</v>
      </c>
      <c r="W22" s="7">
        <v>52</v>
      </c>
      <c r="X22" s="7">
        <v>56.7</v>
      </c>
      <c r="Y22" s="7">
        <v>54.2</v>
      </c>
      <c r="Z22" s="7">
        <v>45.1</v>
      </c>
      <c r="AA22" s="7">
        <v>53.1</v>
      </c>
      <c r="AB22" s="1"/>
    </row>
    <row r="23" spans="1:28" x14ac:dyDescent="0.3">
      <c r="A23" s="103"/>
      <c r="B23" s="14">
        <v>16</v>
      </c>
      <c r="C23" s="1" t="s">
        <v>20</v>
      </c>
      <c r="D23" s="3">
        <v>109.7</v>
      </c>
      <c r="E23" s="3">
        <v>109.44</v>
      </c>
      <c r="F23" s="3">
        <v>114.429407</v>
      </c>
      <c r="G23" s="3">
        <v>114.97132000000001</v>
      </c>
      <c r="H23" s="3">
        <v>125.79098</v>
      </c>
      <c r="I23" s="3">
        <v>114.638019</v>
      </c>
      <c r="J23" s="3">
        <v>119.421387</v>
      </c>
      <c r="K23" s="3">
        <v>123.902888</v>
      </c>
      <c r="L23" s="3">
        <v>138.82203000000001</v>
      </c>
      <c r="M23" s="3">
        <v>143.15595099999999</v>
      </c>
      <c r="N23" s="3">
        <v>129.30765099999999</v>
      </c>
      <c r="O23" s="3">
        <v>137.62836799999999</v>
      </c>
      <c r="P23" s="3">
        <v>140.827686</v>
      </c>
      <c r="Q23" s="3">
        <v>132.12381500000001</v>
      </c>
      <c r="R23" s="3">
        <v>129.23539</v>
      </c>
      <c r="S23" s="3">
        <v>129.39599699999999</v>
      </c>
      <c r="T23" s="3">
        <v>127.6</v>
      </c>
      <c r="U23" s="3">
        <v>128</v>
      </c>
      <c r="V23" s="3">
        <v>126.4</v>
      </c>
      <c r="W23" s="3">
        <v>130.69999999999999</v>
      </c>
      <c r="X23" s="3">
        <v>136.4</v>
      </c>
      <c r="Y23" s="3">
        <v>141.30000000000001</v>
      </c>
      <c r="Z23" s="3">
        <v>145.69999999999999</v>
      </c>
      <c r="AA23" s="3">
        <v>149.69999999999999</v>
      </c>
      <c r="AB23" s="1"/>
    </row>
    <row r="25" spans="1:28" x14ac:dyDescent="0.3">
      <c r="A25" s="9" t="s">
        <v>71</v>
      </c>
      <c r="B25" s="8"/>
      <c r="C25" s="9" t="s">
        <v>26</v>
      </c>
      <c r="D25" s="8">
        <v>98</v>
      </c>
      <c r="E25" s="8">
        <v>99</v>
      </c>
      <c r="F25" s="8">
        <v>2000</v>
      </c>
      <c r="G25" s="8">
        <v>1</v>
      </c>
      <c r="H25" s="8">
        <v>2</v>
      </c>
      <c r="I25" s="8">
        <v>3</v>
      </c>
      <c r="J25" s="8">
        <v>4</v>
      </c>
      <c r="K25" s="8">
        <v>5</v>
      </c>
      <c r="L25" s="8">
        <v>6</v>
      </c>
      <c r="M25" s="8">
        <v>7</v>
      </c>
      <c r="N25" s="8">
        <v>8</v>
      </c>
      <c r="O25" s="8">
        <v>9</v>
      </c>
      <c r="P25" s="8">
        <v>10</v>
      </c>
      <c r="Q25" s="8">
        <v>11</v>
      </c>
      <c r="R25" s="8">
        <v>12</v>
      </c>
      <c r="S25" s="8">
        <v>13</v>
      </c>
      <c r="T25" s="8">
        <v>14</v>
      </c>
      <c r="U25" s="8">
        <v>15</v>
      </c>
      <c r="V25" s="8">
        <v>16</v>
      </c>
      <c r="W25" s="8">
        <v>17</v>
      </c>
      <c r="X25" s="8">
        <v>18</v>
      </c>
      <c r="Y25" s="8">
        <v>19</v>
      </c>
      <c r="Z25" s="8">
        <v>20</v>
      </c>
      <c r="AA25" s="8" t="s">
        <v>3</v>
      </c>
      <c r="AB25" s="8" t="s">
        <v>94</v>
      </c>
    </row>
    <row r="26" spans="1:28" x14ac:dyDescent="0.3">
      <c r="A26" s="6" t="s">
        <v>65</v>
      </c>
      <c r="B26" s="17" t="s">
        <v>27</v>
      </c>
      <c r="C26" s="6" t="s">
        <v>85</v>
      </c>
      <c r="D26" s="7">
        <f t="shared" ref="D26:U26" si="11">D4*D5</f>
        <v>161</v>
      </c>
      <c r="E26" s="7">
        <f t="shared" si="11"/>
        <v>126.35</v>
      </c>
      <c r="F26" s="7">
        <f t="shared" si="11"/>
        <v>106.4</v>
      </c>
      <c r="G26" s="7">
        <f t="shared" si="11"/>
        <v>101.5</v>
      </c>
      <c r="H26" s="7">
        <f t="shared" si="11"/>
        <v>105</v>
      </c>
      <c r="I26" s="7">
        <f t="shared" si="11"/>
        <v>118.65</v>
      </c>
      <c r="J26" s="7">
        <f t="shared" si="11"/>
        <v>126</v>
      </c>
      <c r="K26" s="7">
        <f t="shared" si="11"/>
        <v>138.6</v>
      </c>
      <c r="L26" s="7">
        <f t="shared" si="11"/>
        <v>206.5</v>
      </c>
      <c r="M26" s="7">
        <f t="shared" si="11"/>
        <v>314.65000000000003</v>
      </c>
      <c r="N26" s="7">
        <f t="shared" si="11"/>
        <v>269.85000000000002</v>
      </c>
      <c r="O26" s="7">
        <f t="shared" si="11"/>
        <v>145.6</v>
      </c>
      <c r="P26" s="7">
        <f t="shared" si="11"/>
        <v>87.15</v>
      </c>
      <c r="Q26" s="7">
        <f t="shared" si="11"/>
        <v>140</v>
      </c>
      <c r="R26" s="7">
        <f t="shared" si="11"/>
        <v>33.6</v>
      </c>
      <c r="S26" s="7">
        <f t="shared" si="11"/>
        <v>27.3</v>
      </c>
      <c r="T26" s="7">
        <f t="shared" si="11"/>
        <v>31.85</v>
      </c>
      <c r="U26" s="7">
        <f t="shared" si="11"/>
        <v>43.05</v>
      </c>
      <c r="V26" s="7">
        <f t="shared" ref="V26:AA26" si="12">V4*V5</f>
        <v>38.150000000000006</v>
      </c>
      <c r="W26" s="7">
        <f t="shared" si="12"/>
        <v>92.75</v>
      </c>
      <c r="X26" s="7">
        <f t="shared" si="12"/>
        <v>96.6</v>
      </c>
      <c r="Y26" s="7">
        <f t="shared" si="12"/>
        <v>121.1</v>
      </c>
      <c r="Z26" s="7">
        <f t="shared" si="12"/>
        <v>105</v>
      </c>
      <c r="AA26" s="7">
        <f t="shared" si="12"/>
        <v>100.8</v>
      </c>
      <c r="AB26" s="1"/>
    </row>
    <row r="27" spans="1:28" x14ac:dyDescent="0.3">
      <c r="A27" s="1" t="s">
        <v>66</v>
      </c>
      <c r="B27" s="2" t="s">
        <v>28</v>
      </c>
      <c r="C27" s="1" t="s">
        <v>47</v>
      </c>
      <c r="D27" s="30">
        <f t="shared" ref="D27:U27" si="13">D26/D6</f>
        <v>0.34831747515263228</v>
      </c>
      <c r="E27" s="30">
        <f t="shared" si="13"/>
        <v>0.25444911989080266</v>
      </c>
      <c r="F27" s="30">
        <f t="shared" si="13"/>
        <v>0.21211864014041201</v>
      </c>
      <c r="G27" s="30">
        <f t="shared" si="13"/>
        <v>0.22597162958472225</v>
      </c>
      <c r="H27" s="30">
        <f t="shared" si="13"/>
        <v>0.21459489779702376</v>
      </c>
      <c r="I27" s="30">
        <f t="shared" si="13"/>
        <v>0.25008359621197779</v>
      </c>
      <c r="J27" s="30">
        <f t="shared" si="13"/>
        <v>0.23876273966918535</v>
      </c>
      <c r="K27" s="30">
        <f t="shared" si="13"/>
        <v>0.24599127532840248</v>
      </c>
      <c r="L27" s="30">
        <f t="shared" si="13"/>
        <v>0.42604268676209406</v>
      </c>
      <c r="M27" s="30">
        <f t="shared" si="13"/>
        <v>0.57677875709081339</v>
      </c>
      <c r="N27" s="30">
        <f t="shared" si="13"/>
        <v>0.5040362742943103</v>
      </c>
      <c r="O27" s="30">
        <f t="shared" si="13"/>
        <v>0.36479807604692938</v>
      </c>
      <c r="P27" s="30">
        <f t="shared" si="13"/>
        <v>0.20443349753694581</v>
      </c>
      <c r="Q27" s="30">
        <f t="shared" si="13"/>
        <v>0.47742463511117172</v>
      </c>
      <c r="R27" s="30">
        <f t="shared" si="13"/>
        <v>0.1553398058252427</v>
      </c>
      <c r="S27" s="30">
        <f t="shared" si="13"/>
        <v>0.1224764468371467</v>
      </c>
      <c r="T27" s="30">
        <f t="shared" si="13"/>
        <v>0.1172680412371134</v>
      </c>
      <c r="U27" s="30">
        <f t="shared" si="13"/>
        <v>0.13482618227372375</v>
      </c>
      <c r="V27" s="30">
        <f t="shared" ref="V27:Y27" si="14">V26/V6</f>
        <v>0.11320474777448072</v>
      </c>
      <c r="W27" s="30">
        <f t="shared" si="14"/>
        <v>0.23782051282051281</v>
      </c>
      <c r="X27" s="30">
        <f t="shared" si="14"/>
        <v>0.21615573953904677</v>
      </c>
      <c r="Y27" s="30">
        <f t="shared" si="14"/>
        <v>0.26037411309395825</v>
      </c>
      <c r="Z27" s="30">
        <f t="shared" ref="Z27" si="15">Z26/Z6</f>
        <v>0.29346003353828953</v>
      </c>
      <c r="AA27" s="30"/>
      <c r="AB27" s="1"/>
    </row>
    <row r="28" spans="1:28" x14ac:dyDescent="0.3">
      <c r="A28" s="6" t="s">
        <v>67</v>
      </c>
      <c r="B28" s="17" t="s">
        <v>29</v>
      </c>
      <c r="C28" s="6" t="s">
        <v>48</v>
      </c>
      <c r="D28" s="29">
        <f t="shared" ref="D28:U28" si="16">D26/D7</f>
        <v>4.5999999999999996</v>
      </c>
      <c r="E28" s="29">
        <f t="shared" si="16"/>
        <v>4.7499999999999991</v>
      </c>
      <c r="F28" s="29">
        <f t="shared" si="16"/>
        <v>4.1497659906396258</v>
      </c>
      <c r="G28" s="29">
        <f t="shared" si="16"/>
        <v>4.7121634168987931</v>
      </c>
      <c r="H28" s="29">
        <f t="shared" si="16"/>
        <v>3.7461043190870296</v>
      </c>
      <c r="I28" s="29">
        <f t="shared" si="16"/>
        <v>4.7615682330319924</v>
      </c>
      <c r="J28" s="29">
        <f t="shared" si="16"/>
        <v>4.2481456507080244</v>
      </c>
      <c r="K28" s="29">
        <f t="shared" si="16"/>
        <v>4.1200951248513675</v>
      </c>
      <c r="L28" s="29">
        <f t="shared" si="16"/>
        <v>4.9329689545450206</v>
      </c>
      <c r="M28" s="29">
        <f t="shared" si="16"/>
        <v>8.8502320777526577</v>
      </c>
      <c r="N28" s="29">
        <f t="shared" si="16"/>
        <v>9.5112047878527282</v>
      </c>
      <c r="O28" s="29">
        <f t="shared" si="16"/>
        <v>4.4121212121212121</v>
      </c>
      <c r="P28" s="29">
        <f t="shared" si="16"/>
        <v>2.798920897967049</v>
      </c>
      <c r="Q28" s="29">
        <f t="shared" si="16"/>
        <v>8.9491178726668377</v>
      </c>
      <c r="R28" s="29">
        <f t="shared" si="16"/>
        <v>2.2066465375844118</v>
      </c>
      <c r="S28" s="29">
        <f t="shared" si="16"/>
        <v>1.7750325097529258</v>
      </c>
      <c r="T28" s="29">
        <f t="shared" si="16"/>
        <v>1.7379679144385027</v>
      </c>
      <c r="U28" s="29">
        <f t="shared" si="16"/>
        <v>1.7988467324084907</v>
      </c>
      <c r="V28" s="29">
        <f t="shared" ref="V28:Y28" si="17">V26/V7</f>
        <v>1.5195570779893255</v>
      </c>
      <c r="W28" s="29">
        <f t="shared" si="17"/>
        <v>2.7247356051703879</v>
      </c>
      <c r="X28" s="29">
        <f t="shared" si="17"/>
        <v>2.2729411764705882</v>
      </c>
      <c r="Y28" s="29">
        <f t="shared" si="17"/>
        <v>2.7839080459770114</v>
      </c>
      <c r="Z28" s="29">
        <f t="shared" ref="Z28" si="18">Z26/Z7</f>
        <v>3.595890410958904</v>
      </c>
      <c r="AA28" s="29"/>
      <c r="AB28" s="1"/>
    </row>
    <row r="29" spans="1:28" x14ac:dyDescent="0.3">
      <c r="A29" s="15" t="s">
        <v>68</v>
      </c>
      <c r="B29" s="2" t="s">
        <v>30</v>
      </c>
      <c r="C29" s="1" t="s">
        <v>49</v>
      </c>
      <c r="D29" s="3">
        <f t="shared" ref="D29:U29" si="19">D15-D14</f>
        <v>91.49799999999999</v>
      </c>
      <c r="E29" s="3">
        <f t="shared" si="19"/>
        <v>124.69999999999999</v>
      </c>
      <c r="F29" s="3">
        <f t="shared" si="19"/>
        <v>127.831356</v>
      </c>
      <c r="G29" s="3">
        <f t="shared" si="19"/>
        <v>149.93640400000001</v>
      </c>
      <c r="H29" s="3">
        <f t="shared" si="19"/>
        <v>175.52144100000001</v>
      </c>
      <c r="I29" s="3">
        <f t="shared" si="19"/>
        <v>170.759626</v>
      </c>
      <c r="J29" s="3">
        <f t="shared" si="19"/>
        <v>155.82964100000001</v>
      </c>
      <c r="K29" s="3">
        <f t="shared" si="19"/>
        <v>125.636742</v>
      </c>
      <c r="L29" s="3">
        <f t="shared" si="19"/>
        <v>105.849152</v>
      </c>
      <c r="M29" s="3">
        <f t="shared" si="19"/>
        <v>93.563566999999992</v>
      </c>
      <c r="N29" s="3">
        <f t="shared" si="19"/>
        <v>102.77552799999999</v>
      </c>
      <c r="O29" s="3">
        <f t="shared" si="19"/>
        <v>50.542995000000005</v>
      </c>
      <c r="P29" s="3">
        <f t="shared" si="19"/>
        <v>39.717624999999998</v>
      </c>
      <c r="Q29" s="3">
        <f t="shared" si="19"/>
        <v>45.593754000000004</v>
      </c>
      <c r="R29" s="3">
        <f t="shared" si="19"/>
        <v>32.922300999999997</v>
      </c>
      <c r="S29" s="3">
        <f t="shared" si="19"/>
        <v>19.043219999999998</v>
      </c>
      <c r="T29" s="3">
        <f t="shared" si="19"/>
        <v>38.369000999999997</v>
      </c>
      <c r="U29" s="3">
        <f t="shared" si="19"/>
        <v>52.435046</v>
      </c>
      <c r="V29" s="3">
        <f t="shared" ref="V29:Y29" si="20">V15-V14</f>
        <v>54.664810000000003</v>
      </c>
      <c r="W29" s="3">
        <f t="shared" si="20"/>
        <v>62.672429999999999</v>
      </c>
      <c r="X29" s="3">
        <f t="shared" si="20"/>
        <v>73.900000000000006</v>
      </c>
      <c r="Y29" s="3">
        <f t="shared" si="20"/>
        <v>31.500000000000004</v>
      </c>
      <c r="Z29" s="3">
        <f t="shared" ref="Z29" si="21">Z15-Z14</f>
        <v>32.9</v>
      </c>
      <c r="AA29" s="3"/>
      <c r="AB29" s="1"/>
    </row>
    <row r="30" spans="1:28" x14ac:dyDescent="0.3">
      <c r="A30" s="6" t="s">
        <v>69</v>
      </c>
      <c r="B30" s="17" t="s">
        <v>31</v>
      </c>
      <c r="C30" s="6" t="s">
        <v>50</v>
      </c>
      <c r="D30" s="7">
        <f t="shared" ref="D30:U30" si="22">D26+D29+D16+D17</f>
        <v>252.49799999999999</v>
      </c>
      <c r="E30" s="7">
        <f t="shared" si="22"/>
        <v>251.04999999999998</v>
      </c>
      <c r="F30" s="7">
        <f t="shared" si="22"/>
        <v>234.23135600000001</v>
      </c>
      <c r="G30" s="7">
        <f t="shared" si="22"/>
        <v>251.43640400000001</v>
      </c>
      <c r="H30" s="7">
        <f t="shared" si="22"/>
        <v>285.430431</v>
      </c>
      <c r="I30" s="7">
        <f t="shared" si="22"/>
        <v>293.12466699999999</v>
      </c>
      <c r="J30" s="7">
        <f t="shared" si="22"/>
        <v>285.42918200000003</v>
      </c>
      <c r="K30" s="7">
        <f t="shared" si="22"/>
        <v>267.47503899999998</v>
      </c>
      <c r="L30" s="7">
        <f t="shared" si="22"/>
        <v>316.634727</v>
      </c>
      <c r="M30" s="7">
        <f t="shared" si="22"/>
        <v>412.14957200000003</v>
      </c>
      <c r="N30" s="7">
        <f t="shared" si="22"/>
        <v>376.11598700000002</v>
      </c>
      <c r="O30" s="7">
        <f t="shared" si="22"/>
        <v>199.42767599999999</v>
      </c>
      <c r="P30" s="7">
        <f t="shared" si="22"/>
        <v>127.949445</v>
      </c>
      <c r="Q30" s="7">
        <f t="shared" si="22"/>
        <v>186.65193399999998</v>
      </c>
      <c r="R30" s="7">
        <f t="shared" si="22"/>
        <v>67.334647000000004</v>
      </c>
      <c r="S30" s="7">
        <f t="shared" si="22"/>
        <v>47.989470000000004</v>
      </c>
      <c r="T30" s="7">
        <f t="shared" si="22"/>
        <v>71.849768999999995</v>
      </c>
      <c r="U30" s="7">
        <f t="shared" si="22"/>
        <v>97.132340999999997</v>
      </c>
      <c r="V30" s="7">
        <f t="shared" ref="V30:Y30" si="23">V26+V29+V16+V17</f>
        <v>94.109071000000014</v>
      </c>
      <c r="W30" s="7">
        <f t="shared" si="23"/>
        <v>156.82243</v>
      </c>
      <c r="X30" s="7">
        <f t="shared" si="23"/>
        <v>172</v>
      </c>
      <c r="Y30" s="7">
        <f t="shared" si="23"/>
        <v>154.1</v>
      </c>
      <c r="Z30" s="7">
        <f t="shared" ref="Z30" si="24">Z26+Z29+Z16+Z17</f>
        <v>139.20000000000002</v>
      </c>
      <c r="AA30" s="7"/>
      <c r="AB30" s="1"/>
    </row>
    <row r="31" spans="1:28" x14ac:dyDescent="0.3">
      <c r="A31" s="1" t="s">
        <v>70</v>
      </c>
      <c r="B31" s="2" t="s">
        <v>32</v>
      </c>
      <c r="C31" s="1" t="s">
        <v>51</v>
      </c>
      <c r="D31" s="30">
        <f t="shared" ref="D31:U31" si="25">D30/D7</f>
        <v>7.2142285714285714</v>
      </c>
      <c r="E31" s="30">
        <f t="shared" si="25"/>
        <v>9.4379699248120286</v>
      </c>
      <c r="F31" s="30">
        <f t="shared" si="25"/>
        <v>9.1353882995319804</v>
      </c>
      <c r="G31" s="30">
        <f t="shared" si="25"/>
        <v>11.672999257195915</v>
      </c>
      <c r="H31" s="30">
        <f t="shared" si="25"/>
        <v>10.183354003504498</v>
      </c>
      <c r="I31" s="30">
        <f t="shared" si="25"/>
        <v>11.763447978974133</v>
      </c>
      <c r="J31" s="30">
        <f t="shared" si="25"/>
        <v>9.6233709372892786</v>
      </c>
      <c r="K31" s="30">
        <f t="shared" si="25"/>
        <v>7.9511010404280613</v>
      </c>
      <c r="L31" s="30">
        <f t="shared" si="25"/>
        <v>7.5639190228660436</v>
      </c>
      <c r="M31" s="30">
        <f t="shared" si="25"/>
        <v>11.592624703468706</v>
      </c>
      <c r="N31" s="30">
        <f t="shared" si="25"/>
        <v>13.256683996080616</v>
      </c>
      <c r="O31" s="30">
        <f t="shared" si="25"/>
        <v>6.0432629090909087</v>
      </c>
      <c r="P31" s="30">
        <f t="shared" si="25"/>
        <v>4.1092412563830809</v>
      </c>
      <c r="Q31" s="30">
        <f t="shared" si="25"/>
        <v>11.931215418051648</v>
      </c>
      <c r="R31" s="30">
        <f t="shared" si="25"/>
        <v>4.4221358827981723</v>
      </c>
      <c r="S31" s="30">
        <f t="shared" si="25"/>
        <v>3.1202516254876462</v>
      </c>
      <c r="T31" s="30">
        <f t="shared" si="25"/>
        <v>3.9206465677179958</v>
      </c>
      <c r="U31" s="30">
        <f t="shared" si="25"/>
        <v>4.0586804696640479</v>
      </c>
      <c r="V31" s="30">
        <f t="shared" ref="V31:Y31" si="26">V30/V7</f>
        <v>3.7484693300406282</v>
      </c>
      <c r="W31" s="30">
        <f t="shared" si="26"/>
        <v>4.6070044065804936</v>
      </c>
      <c r="X31" s="30">
        <f t="shared" si="26"/>
        <v>4.0470588235294116</v>
      </c>
      <c r="Y31" s="30">
        <f t="shared" si="26"/>
        <v>3.542528735632184</v>
      </c>
      <c r="Z31" s="30">
        <f t="shared" ref="Z31" si="27">Z30/Z7</f>
        <v>4.7671232876712333</v>
      </c>
      <c r="AA31" s="30"/>
      <c r="AB31" s="1"/>
    </row>
    <row r="32" spans="1:28" x14ac:dyDescent="0.3">
      <c r="A32" s="18" t="s">
        <v>72</v>
      </c>
      <c r="B32" s="17" t="s">
        <v>33</v>
      </c>
      <c r="C32" s="6" t="s">
        <v>109</v>
      </c>
      <c r="D32" s="27">
        <f t="shared" ref="D32:U32" si="28">D7/D6</f>
        <v>7.5721190250572237E-2</v>
      </c>
      <c r="E32" s="27">
        <f t="shared" si="28"/>
        <v>5.356823576648477E-2</v>
      </c>
      <c r="F32" s="27">
        <f t="shared" si="28"/>
        <v>5.1115807642858682E-2</v>
      </c>
      <c r="G32" s="27">
        <f t="shared" si="28"/>
        <v>4.7954964544383423E-2</v>
      </c>
      <c r="H32" s="27">
        <f t="shared" si="28"/>
        <v>5.7284816310006849E-2</v>
      </c>
      <c r="I32" s="27">
        <f t="shared" si="28"/>
        <v>5.2521266938294765E-2</v>
      </c>
      <c r="J32" s="27">
        <f t="shared" si="28"/>
        <v>5.6203990941174897E-2</v>
      </c>
      <c r="K32" s="27">
        <f t="shared" si="28"/>
        <v>5.9705241717514138E-2</v>
      </c>
      <c r="L32" s="27">
        <f t="shared" si="28"/>
        <v>8.6366383143270553E-2</v>
      </c>
      <c r="M32" s="27">
        <f t="shared" si="28"/>
        <v>6.5171031903298399E-2</v>
      </c>
      <c r="N32" s="27">
        <f t="shared" si="28"/>
        <v>5.2993946144240543E-2</v>
      </c>
      <c r="O32" s="27">
        <f t="shared" si="28"/>
        <v>8.2680882620526586E-2</v>
      </c>
      <c r="P32" s="27">
        <f t="shared" si="28"/>
        <v>7.3040112596762838E-2</v>
      </c>
      <c r="Q32" s="27">
        <f t="shared" si="28"/>
        <v>5.3348792797708364E-2</v>
      </c>
      <c r="R32" s="27">
        <f t="shared" si="28"/>
        <v>7.0396324549237166E-2</v>
      </c>
      <c r="S32" s="27">
        <f t="shared" si="28"/>
        <v>6.8999551368326612E-2</v>
      </c>
      <c r="T32" s="27">
        <f t="shared" si="28"/>
        <v>6.747422680412371E-2</v>
      </c>
      <c r="U32" s="27">
        <f t="shared" si="28"/>
        <v>7.4951456310679607E-2</v>
      </c>
      <c r="V32" s="27">
        <f t="shared" ref="V32:Y32" si="29">V7/V6</f>
        <v>7.4498516320474786E-2</v>
      </c>
      <c r="W32" s="27">
        <f t="shared" si="29"/>
        <v>8.7282051282051284E-2</v>
      </c>
      <c r="X32" s="27">
        <f t="shared" si="29"/>
        <v>9.5099574848959506E-2</v>
      </c>
      <c r="Y32" s="27">
        <f t="shared" si="29"/>
        <v>9.3528273489572128E-2</v>
      </c>
      <c r="Z32" s="27">
        <f t="shared" ref="Z32" si="30">Z7/Z6</f>
        <v>8.1609837898267187E-2</v>
      </c>
      <c r="AA32" s="27"/>
      <c r="AB32" s="1"/>
    </row>
    <row r="33" spans="1:28" x14ac:dyDescent="0.3">
      <c r="A33" s="16" t="s">
        <v>73</v>
      </c>
      <c r="B33" s="2" t="s">
        <v>34</v>
      </c>
      <c r="C33" s="1" t="s">
        <v>110</v>
      </c>
      <c r="D33" s="28">
        <f t="shared" ref="D33:U33" si="31">D8/D6</f>
        <v>5.4605795483555521E-2</v>
      </c>
      <c r="E33" s="28">
        <f t="shared" si="31"/>
        <v>3.3107586315827428E-2</v>
      </c>
      <c r="F33" s="28">
        <f t="shared" si="31"/>
        <v>3.5740395986665889E-2</v>
      </c>
      <c r="G33" s="28">
        <f t="shared" si="31"/>
        <v>3.2336874141794821E-2</v>
      </c>
      <c r="H33" s="28">
        <f t="shared" si="31"/>
        <v>6.4429788176094587E-3</v>
      </c>
      <c r="I33" s="28">
        <f t="shared" si="31"/>
        <v>-7.8086827144498881E-3</v>
      </c>
      <c r="J33" s="28">
        <f t="shared" si="31"/>
        <v>1.6767308572333505E-2</v>
      </c>
      <c r="K33" s="28">
        <f t="shared" si="31"/>
        <v>2.4487142933214554E-2</v>
      </c>
      <c r="L33" s="28">
        <f t="shared" si="31"/>
        <v>5.1286387305243403E-2</v>
      </c>
      <c r="M33" s="28">
        <f t="shared" si="31"/>
        <v>2.942036347051985E-2</v>
      </c>
      <c r="N33" s="28">
        <f t="shared" si="31"/>
        <v>1.4937563736960539E-2</v>
      </c>
      <c r="O33" s="28">
        <f t="shared" si="31"/>
        <v>3.6292923755157636E-2</v>
      </c>
      <c r="P33" s="28">
        <f t="shared" si="31"/>
        <v>3.0809019469856907E-2</v>
      </c>
      <c r="Q33" s="28">
        <f t="shared" si="31"/>
        <v>-9.6558484517801114E-3</v>
      </c>
      <c r="R33" s="28">
        <f t="shared" si="31"/>
        <v>-4.7916828478964399E-3</v>
      </c>
      <c r="S33" s="28">
        <f t="shared" si="31"/>
        <v>9.8852534768954677E-3</v>
      </c>
      <c r="T33" s="28">
        <f t="shared" si="31"/>
        <v>2.2940486008836521E-2</v>
      </c>
      <c r="U33" s="28">
        <f t="shared" si="31"/>
        <v>3.2163426244910739E-2</v>
      </c>
      <c r="V33" s="28">
        <f t="shared" ref="V33:Y33" si="32">V8/V6</f>
        <v>2.8382688427299702E-2</v>
      </c>
      <c r="W33" s="28">
        <f t="shared" si="32"/>
        <v>3.9560364102564104E-2</v>
      </c>
      <c r="X33" s="28">
        <f t="shared" si="32"/>
        <v>4.2738867755650042E-2</v>
      </c>
      <c r="Y33" s="28">
        <f t="shared" si="32"/>
        <v>3.9346377123199314E-2</v>
      </c>
      <c r="Z33" s="28">
        <f t="shared" ref="Z33" si="33">Z8/Z6</f>
        <v>2.4874231414197878E-2</v>
      </c>
      <c r="AA33" s="28"/>
      <c r="AB33" s="1"/>
    </row>
    <row r="34" spans="1:28" x14ac:dyDescent="0.3">
      <c r="A34" s="18" t="s">
        <v>74</v>
      </c>
      <c r="B34" s="17" t="s">
        <v>35</v>
      </c>
      <c r="C34" s="6" t="s">
        <v>54</v>
      </c>
      <c r="D34" s="27">
        <f t="shared" ref="D34:U34" si="34">D11/D10</f>
        <v>0.36567796610169495</v>
      </c>
      <c r="E34" s="27">
        <f t="shared" si="34"/>
        <v>9.6385542168674648E-2</v>
      </c>
      <c r="F34" s="27">
        <f t="shared" si="34"/>
        <v>0.31912079171110375</v>
      </c>
      <c r="G34" s="27">
        <f t="shared" si="34"/>
        <v>0.33149835518119736</v>
      </c>
      <c r="H34" s="27">
        <f t="shared" si="34"/>
        <v>0.81140696589504624</v>
      </c>
      <c r="I34" s="27">
        <f t="shared" si="34"/>
        <v>-6.7352063049986907E-2</v>
      </c>
      <c r="J34" s="27">
        <f t="shared" si="34"/>
        <v>0.30982414145830661</v>
      </c>
      <c r="K34" s="27">
        <f t="shared" si="34"/>
        <v>0.41633894676105543</v>
      </c>
      <c r="L34" s="27">
        <f t="shared" si="34"/>
        <v>0.2321303283265797</v>
      </c>
      <c r="M34" s="27">
        <f t="shared" si="34"/>
        <v>0.32896678409876712</v>
      </c>
      <c r="N34" s="27">
        <f t="shared" si="34"/>
        <v>0.59336990574850734</v>
      </c>
      <c r="O34" s="27">
        <f t="shared" si="34"/>
        <v>0.28048759497224507</v>
      </c>
      <c r="P34" s="27">
        <f t="shared" si="34"/>
        <v>0.17932497719145907</v>
      </c>
      <c r="Q34" s="27">
        <f t="shared" si="34"/>
        <v>-0.16305726387326808</v>
      </c>
      <c r="R34" s="27">
        <f t="shared" si="34"/>
        <v>-0.21602881632864382</v>
      </c>
      <c r="S34" s="27">
        <f t="shared" si="34"/>
        <v>-1.0052576372839603</v>
      </c>
      <c r="T34" s="27">
        <f t="shared" si="34"/>
        <v>0.18973719891488955</v>
      </c>
      <c r="U34" s="27">
        <f t="shared" si="34"/>
        <v>0.24469461567762407</v>
      </c>
      <c r="V34" s="27">
        <f t="shared" ref="V34:Y34" si="35">V11/V10</f>
        <v>0.17404913340447417</v>
      </c>
      <c r="W34" s="27">
        <f t="shared" si="35"/>
        <v>0.26621316385355293</v>
      </c>
      <c r="X34" s="27">
        <f t="shared" si="35"/>
        <v>0.27272727272727271</v>
      </c>
      <c r="Y34" s="27">
        <f t="shared" si="35"/>
        <v>0.28834355828220859</v>
      </c>
      <c r="Z34" s="27">
        <f t="shared" ref="Z34" si="36">Z11/Z10</f>
        <v>0.32307692307692309</v>
      </c>
      <c r="AA34" s="27"/>
      <c r="AB34" s="1"/>
    </row>
    <row r="35" spans="1:28" x14ac:dyDescent="0.3">
      <c r="A35" s="16" t="s">
        <v>75</v>
      </c>
      <c r="B35" s="2" t="s">
        <v>36</v>
      </c>
      <c r="C35" s="1" t="s">
        <v>108</v>
      </c>
      <c r="D35" s="28">
        <f t="shared" ref="D35:U35" si="37">D12/D6</f>
        <v>3.238703480145904E-2</v>
      </c>
      <c r="E35" s="28">
        <f t="shared" si="37"/>
        <v>2.4770274433374536E-2</v>
      </c>
      <c r="F35" s="28">
        <f t="shared" si="37"/>
        <v>1.1655189619491095E-2</v>
      </c>
      <c r="G35" s="28">
        <f t="shared" si="37"/>
        <v>1.0525331052333404E-2</v>
      </c>
      <c r="H35" s="28">
        <f t="shared" si="37"/>
        <v>2.3094498524822557E-3</v>
      </c>
      <c r="I35" s="28">
        <f t="shared" si="37"/>
        <v>-1.6700093558876406E-2</v>
      </c>
      <c r="J35" s="28">
        <f t="shared" si="37"/>
        <v>9.4904891818762879E-3</v>
      </c>
      <c r="K35" s="28">
        <f t="shared" si="37"/>
        <v>8.4683099973603508E-3</v>
      </c>
      <c r="L35" s="28">
        <f t="shared" si="37"/>
        <v>3.0343513204855749E-2</v>
      </c>
      <c r="M35" s="28">
        <f t="shared" si="37"/>
        <v>1.7808918962813763E-2</v>
      </c>
      <c r="N35" s="28">
        <f t="shared" si="37"/>
        <v>3.3579873473129178E-3</v>
      </c>
      <c r="O35" s="28">
        <f t="shared" si="37"/>
        <v>2.6005415066649613E-2</v>
      </c>
      <c r="P35" s="28">
        <f t="shared" si="37"/>
        <v>2.7445460942997886E-2</v>
      </c>
      <c r="Q35" s="28">
        <f t="shared" si="37"/>
        <v>-7.5023871231755558E-3</v>
      </c>
      <c r="R35" s="28">
        <f t="shared" si="37"/>
        <v>-1.340730466944059E-2</v>
      </c>
      <c r="S35" s="28">
        <f t="shared" si="37"/>
        <v>4.4863167339614181E-4</v>
      </c>
      <c r="T35" s="28">
        <f t="shared" si="37"/>
        <v>1.4727540500736375E-2</v>
      </c>
      <c r="U35" s="28">
        <f t="shared" si="37"/>
        <v>1.9104290635765735E-2</v>
      </c>
      <c r="V35" s="28">
        <f t="shared" ref="V35:Y35" si="38">V12/V6</f>
        <v>1.7804154302670624E-2</v>
      </c>
      <c r="W35" s="28">
        <f t="shared" si="38"/>
        <v>2.3846153846153847E-2</v>
      </c>
      <c r="X35" s="28">
        <f t="shared" si="38"/>
        <v>2.8641754307451334E-2</v>
      </c>
      <c r="Y35" s="28">
        <f t="shared" si="38"/>
        <v>2.4940872930552568E-2</v>
      </c>
      <c r="Z35" s="28">
        <f t="shared" ref="Z35" si="39">Z12/Z6</f>
        <v>1.285634432643935E-2</v>
      </c>
      <c r="AA35" s="28"/>
      <c r="AB35" s="1"/>
    </row>
    <row r="36" spans="1:28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10.754843019372077</v>
      </c>
      <c r="E36" s="29">
        <f t="shared" ref="E36:Y36" si="40">IF(E26/E12&lt;0,0,E26/E12)</f>
        <v>10.272357723577235</v>
      </c>
      <c r="F36" s="29">
        <f t="shared" si="40"/>
        <v>18.199501429447686</v>
      </c>
      <c r="G36" s="29">
        <f t="shared" si="40"/>
        <v>21.469313265412747</v>
      </c>
      <c r="H36" s="29">
        <f t="shared" si="40"/>
        <v>92.920353982300895</v>
      </c>
      <c r="I36" s="29">
        <f t="shared" si="40"/>
        <v>0</v>
      </c>
      <c r="J36" s="29">
        <f t="shared" si="40"/>
        <v>25.158106720688707</v>
      </c>
      <c r="K36" s="29">
        <f t="shared" si="40"/>
        <v>29.048449502330474</v>
      </c>
      <c r="L36" s="29">
        <f t="shared" si="40"/>
        <v>14.040651255040441</v>
      </c>
      <c r="M36" s="29">
        <f t="shared" si="40"/>
        <v>32.387072920886816</v>
      </c>
      <c r="N36" s="29">
        <f t="shared" si="40"/>
        <v>150.10070681107337</v>
      </c>
      <c r="O36" s="29">
        <f t="shared" si="40"/>
        <v>14.027773642988727</v>
      </c>
      <c r="P36" s="29">
        <f t="shared" si="40"/>
        <v>7.4487179487179498</v>
      </c>
      <c r="Q36" s="29">
        <f t="shared" si="40"/>
        <v>0</v>
      </c>
      <c r="R36" s="29">
        <f t="shared" si="40"/>
        <v>0</v>
      </c>
      <c r="S36" s="29">
        <f t="shared" si="40"/>
        <v>273</v>
      </c>
      <c r="T36" s="29">
        <f t="shared" si="40"/>
        <v>7.9625000000000004</v>
      </c>
      <c r="U36" s="29">
        <f t="shared" si="40"/>
        <v>7.057377049180328</v>
      </c>
      <c r="V36" s="29">
        <f t="shared" si="40"/>
        <v>6.3583333333333343</v>
      </c>
      <c r="W36" s="29">
        <f t="shared" si="40"/>
        <v>9.9731182795698921</v>
      </c>
      <c r="X36" s="29">
        <f t="shared" si="40"/>
        <v>7.5468749999999991</v>
      </c>
      <c r="Y36" s="29">
        <f t="shared" si="40"/>
        <v>10.439655172413794</v>
      </c>
      <c r="Z36" s="29">
        <f t="shared" ref="Z36" si="41">IF(Z26/Z12&lt;0,0,Z26/Z12)</f>
        <v>22.826086956521742</v>
      </c>
      <c r="AA36" s="29"/>
      <c r="AB36" s="1"/>
    </row>
    <row r="37" spans="1:28" x14ac:dyDescent="0.3">
      <c r="A37" s="16" t="s">
        <v>77</v>
      </c>
      <c r="B37" s="2" t="s">
        <v>38</v>
      </c>
      <c r="C37" s="1" t="s">
        <v>57</v>
      </c>
      <c r="D37" s="30">
        <f t="shared" ref="D37:U37" si="42">D26/D23</f>
        <v>1.4676390154968095</v>
      </c>
      <c r="E37" s="30">
        <f t="shared" si="42"/>
        <v>1.1545138888888888</v>
      </c>
      <c r="F37" s="30">
        <f t="shared" si="42"/>
        <v>0.92983091313232102</v>
      </c>
      <c r="G37" s="30">
        <f t="shared" si="42"/>
        <v>0.88282886549445549</v>
      </c>
      <c r="H37" s="30">
        <f t="shared" si="42"/>
        <v>0.83471803781161413</v>
      </c>
      <c r="I37" s="30">
        <f t="shared" si="42"/>
        <v>1.0349969498338942</v>
      </c>
      <c r="J37" s="30">
        <f t="shared" si="42"/>
        <v>1.0550873940192975</v>
      </c>
      <c r="K37" s="30">
        <f t="shared" si="42"/>
        <v>1.1186179937952696</v>
      </c>
      <c r="L37" s="30">
        <f t="shared" si="42"/>
        <v>1.4875160664341243</v>
      </c>
      <c r="M37" s="30">
        <f t="shared" si="42"/>
        <v>2.1979526369811904</v>
      </c>
      <c r="N37" s="30">
        <f t="shared" si="42"/>
        <v>2.0868834745130438</v>
      </c>
      <c r="O37" s="30">
        <f t="shared" si="42"/>
        <v>1.0579214308491982</v>
      </c>
      <c r="P37" s="30">
        <f t="shared" si="42"/>
        <v>0.6188413832206261</v>
      </c>
      <c r="Q37" s="30">
        <f t="shared" si="42"/>
        <v>1.0596121524344417</v>
      </c>
      <c r="R37" s="30">
        <f t="shared" si="42"/>
        <v>0.25999070378477601</v>
      </c>
      <c r="S37" s="30">
        <f t="shared" si="42"/>
        <v>0.21098025157609784</v>
      </c>
      <c r="T37" s="30">
        <f t="shared" si="42"/>
        <v>0.24960815047021945</v>
      </c>
      <c r="U37" s="30">
        <f t="shared" si="42"/>
        <v>0.33632812499999998</v>
      </c>
      <c r="V37" s="30">
        <f t="shared" ref="V37:Y37" si="43">V26/V23</f>
        <v>0.30181962025316461</v>
      </c>
      <c r="W37" s="30">
        <f t="shared" si="43"/>
        <v>0.7096403978576894</v>
      </c>
      <c r="X37" s="30">
        <f t="shared" si="43"/>
        <v>0.70821114369501459</v>
      </c>
      <c r="Y37" s="30">
        <f t="shared" si="43"/>
        <v>0.85704175513092695</v>
      </c>
      <c r="Z37" s="30">
        <f t="shared" ref="Z37:AA37" si="44">Z26/Z23</f>
        <v>0.72065888812628698</v>
      </c>
      <c r="AA37" s="30">
        <f t="shared" si="44"/>
        <v>0.67334669338677355</v>
      </c>
      <c r="AB37" s="1"/>
    </row>
    <row r="38" spans="1:28" x14ac:dyDescent="0.3">
      <c r="A38" s="18" t="s">
        <v>78</v>
      </c>
      <c r="B38" s="17" t="s">
        <v>39</v>
      </c>
      <c r="C38" s="6" t="s">
        <v>106</v>
      </c>
      <c r="D38" s="55">
        <f t="shared" ref="D38:U38" si="45">D8/D23</f>
        <v>0.23008204193254328</v>
      </c>
      <c r="E38" s="55">
        <f t="shared" si="45"/>
        <v>0.15021929824561406</v>
      </c>
      <c r="F38" s="55">
        <f t="shared" si="45"/>
        <v>0.15666951765292292</v>
      </c>
      <c r="G38" s="55">
        <f t="shared" si="45"/>
        <v>0.12633411532545682</v>
      </c>
      <c r="H38" s="55">
        <f t="shared" si="45"/>
        <v>2.5061502819995519E-2</v>
      </c>
      <c r="I38" s="55">
        <f t="shared" si="45"/>
        <v>-3.2317044836582529E-2</v>
      </c>
      <c r="J38" s="55">
        <f t="shared" si="45"/>
        <v>7.409437473708122E-2</v>
      </c>
      <c r="K38" s="55">
        <f t="shared" si="45"/>
        <v>0.11135256185473255</v>
      </c>
      <c r="L38" s="55">
        <f t="shared" si="45"/>
        <v>0.17906497981624384</v>
      </c>
      <c r="M38" s="55">
        <f t="shared" si="45"/>
        <v>0.11211329244706007</v>
      </c>
      <c r="N38" s="55">
        <f t="shared" si="45"/>
        <v>6.184664973923315E-2</v>
      </c>
      <c r="O38" s="55">
        <f t="shared" si="45"/>
        <v>0.10525017632992641</v>
      </c>
      <c r="P38" s="55">
        <f t="shared" si="45"/>
        <v>9.3262094784401978E-2</v>
      </c>
      <c r="Q38" s="55">
        <f t="shared" si="45"/>
        <v>-2.1430511978480185E-2</v>
      </c>
      <c r="R38" s="55">
        <f t="shared" si="45"/>
        <v>-8.0197924113511003E-3</v>
      </c>
      <c r="S38" s="55">
        <f t="shared" si="45"/>
        <v>1.7028525233280595E-2</v>
      </c>
      <c r="T38" s="55">
        <f t="shared" si="45"/>
        <v>4.8829435736677113E-2</v>
      </c>
      <c r="U38" s="55">
        <f t="shared" si="45"/>
        <v>8.0232671874999995E-2</v>
      </c>
      <c r="V38" s="55">
        <f t="shared" ref="V38:Y38" si="46">V8/V23</f>
        <v>7.5672199367088605E-2</v>
      </c>
      <c r="W38" s="55">
        <f t="shared" si="46"/>
        <v>0.11804546289211937</v>
      </c>
      <c r="X38" s="55">
        <f t="shared" si="46"/>
        <v>0.1400293255131965</v>
      </c>
      <c r="Y38" s="55">
        <f t="shared" si="46"/>
        <v>0.12951167728237792</v>
      </c>
      <c r="Z38" s="55">
        <f t="shared" ref="Z38" si="47">Z8/Z23</f>
        <v>6.1084420041180518E-2</v>
      </c>
      <c r="AA38" s="55"/>
      <c r="AB38" s="1"/>
    </row>
    <row r="39" spans="1:28" x14ac:dyDescent="0.3">
      <c r="A39" s="16" t="s">
        <v>79</v>
      </c>
      <c r="B39" s="2" t="s">
        <v>40</v>
      </c>
      <c r="C39" s="1" t="s">
        <v>107</v>
      </c>
      <c r="D39" s="56">
        <f t="shared" ref="D39:U39" si="48">D12/D23</f>
        <v>0.13646308113035552</v>
      </c>
      <c r="E39" s="56">
        <f t="shared" si="48"/>
        <v>0.11239035087719298</v>
      </c>
      <c r="F39" s="56">
        <f t="shared" si="48"/>
        <v>5.1091010198104053E-2</v>
      </c>
      <c r="G39" s="56">
        <f t="shared" si="48"/>
        <v>4.112049857303543E-2</v>
      </c>
      <c r="H39" s="56">
        <f t="shared" si="48"/>
        <v>8.9831560259726086E-3</v>
      </c>
      <c r="I39" s="56">
        <f t="shared" si="48"/>
        <v>-6.9115072548488476E-2</v>
      </c>
      <c r="J39" s="56">
        <f t="shared" si="48"/>
        <v>4.193826688681819E-2</v>
      </c>
      <c r="K39" s="56">
        <f t="shared" si="48"/>
        <v>3.850869884485663E-2</v>
      </c>
      <c r="L39" s="56">
        <f t="shared" si="48"/>
        <v>0.10594352351712476</v>
      </c>
      <c r="M39" s="56">
        <f t="shared" si="48"/>
        <v>6.7865121443676499E-2</v>
      </c>
      <c r="N39" s="56">
        <f t="shared" si="48"/>
        <v>1.3903222168965083E-2</v>
      </c>
      <c r="O39" s="56">
        <f t="shared" si="48"/>
        <v>7.5416203438523677E-2</v>
      </c>
      <c r="P39" s="56">
        <f t="shared" si="48"/>
        <v>8.3080254545970456E-2</v>
      </c>
      <c r="Q39" s="56">
        <f t="shared" si="48"/>
        <v>-1.6651048109684086E-2</v>
      </c>
      <c r="R39" s="56">
        <f t="shared" si="48"/>
        <v>-2.2439673838566973E-2</v>
      </c>
      <c r="S39" s="56">
        <f t="shared" si="48"/>
        <v>7.7282143434468081E-4</v>
      </c>
      <c r="T39" s="56">
        <f t="shared" si="48"/>
        <v>3.1347962382445145E-2</v>
      </c>
      <c r="U39" s="56">
        <f t="shared" si="48"/>
        <v>4.7656249999999997E-2</v>
      </c>
      <c r="V39" s="56">
        <f t="shared" ref="V39:Y39" si="49">V12/V23</f>
        <v>4.7468354430379743E-2</v>
      </c>
      <c r="W39" s="56">
        <f t="shared" si="49"/>
        <v>7.1155317521040568E-2</v>
      </c>
      <c r="X39" s="56">
        <f t="shared" si="49"/>
        <v>9.3841642228739003E-2</v>
      </c>
      <c r="Y39" s="56">
        <f t="shared" si="49"/>
        <v>8.2094833687190366E-2</v>
      </c>
      <c r="Z39" s="56">
        <f t="shared" ref="Z39" si="50">Z12/Z23</f>
        <v>3.1571722717913524E-2</v>
      </c>
      <c r="AA39" s="56"/>
      <c r="AB39" s="1"/>
    </row>
    <row r="40" spans="1:28" x14ac:dyDescent="0.3">
      <c r="A40" s="18" t="s">
        <v>80</v>
      </c>
      <c r="B40" s="17" t="s">
        <v>41</v>
      </c>
      <c r="C40" s="6" t="s">
        <v>61</v>
      </c>
      <c r="D40" s="7">
        <f t="shared" ref="D40:U40" si="51">D20-D19</f>
        <v>56.319999999999993</v>
      </c>
      <c r="E40" s="7">
        <f t="shared" si="51"/>
        <v>71.889999999999986</v>
      </c>
      <c r="F40" s="7">
        <f t="shared" si="51"/>
        <v>63.397584999999992</v>
      </c>
      <c r="G40" s="7">
        <f t="shared" si="51"/>
        <v>35.017709999999994</v>
      </c>
      <c r="H40" s="7">
        <f t="shared" si="51"/>
        <v>46.743569000000008</v>
      </c>
      <c r="I40" s="7">
        <f t="shared" si="51"/>
        <v>27.185955000000007</v>
      </c>
      <c r="J40" s="7">
        <f t="shared" si="51"/>
        <v>13.780521999999991</v>
      </c>
      <c r="K40" s="7">
        <f t="shared" si="51"/>
        <v>11.908642999999984</v>
      </c>
      <c r="L40" s="7">
        <f t="shared" si="51"/>
        <v>-2.9913689999999917</v>
      </c>
      <c r="M40" s="7">
        <f t="shared" si="51"/>
        <v>13.435536000000013</v>
      </c>
      <c r="N40" s="7">
        <f t="shared" si="51"/>
        <v>12.996233999999987</v>
      </c>
      <c r="O40" s="7">
        <f t="shared" si="51"/>
        <v>35.992369999999994</v>
      </c>
      <c r="P40" s="7">
        <f t="shared" si="51"/>
        <v>27.640572999999989</v>
      </c>
      <c r="Q40" s="7">
        <f t="shared" si="51"/>
        <v>28.361017000000004</v>
      </c>
      <c r="R40" s="7">
        <f t="shared" si="51"/>
        <v>40.679819000000009</v>
      </c>
      <c r="S40" s="7">
        <f t="shared" si="51"/>
        <v>45.941358000000001</v>
      </c>
      <c r="T40" s="7">
        <f t="shared" si="51"/>
        <v>59.655731999999986</v>
      </c>
      <c r="U40" s="7">
        <f t="shared" si="51"/>
        <v>56.334048999999993</v>
      </c>
      <c r="V40" s="7">
        <f t="shared" ref="V40:Y40" si="52">V20-V19</f>
        <v>59.517015000000001</v>
      </c>
      <c r="W40" s="7">
        <f t="shared" si="52"/>
        <v>48.755888999999996</v>
      </c>
      <c r="X40" s="7">
        <f t="shared" si="52"/>
        <v>52.699999999999989</v>
      </c>
      <c r="Y40" s="7">
        <f t="shared" si="52"/>
        <v>59.699999999999989</v>
      </c>
      <c r="Z40" s="7">
        <f t="shared" ref="Z40:AA40" si="53">Z20-Z19</f>
        <v>30.400000000000006</v>
      </c>
      <c r="AA40" s="7">
        <f t="shared" si="53"/>
        <v>33.800000000000011</v>
      </c>
      <c r="AB40" s="1"/>
    </row>
    <row r="41" spans="1:28" x14ac:dyDescent="0.3">
      <c r="A41" s="53" t="s">
        <v>96</v>
      </c>
      <c r="B41" s="49" t="s">
        <v>42</v>
      </c>
      <c r="C41" s="52" t="s">
        <v>98</v>
      </c>
      <c r="D41" s="29">
        <f t="shared" ref="D41:U41" si="54">D20/D19</f>
        <v>1.4339651718292494</v>
      </c>
      <c r="E41" s="29">
        <f t="shared" si="54"/>
        <v>1.5474830553651664</v>
      </c>
      <c r="F41" s="29">
        <f t="shared" si="54"/>
        <v>1.4103870657381941</v>
      </c>
      <c r="G41" s="29">
        <f t="shared" si="54"/>
        <v>1.2004651416007885</v>
      </c>
      <c r="H41" s="29">
        <f t="shared" si="54"/>
        <v>1.2835238727282208</v>
      </c>
      <c r="I41" s="29">
        <f t="shared" si="54"/>
        <v>1.1427578508874294</v>
      </c>
      <c r="J41" s="29">
        <f t="shared" si="54"/>
        <v>1.0655040574209822</v>
      </c>
      <c r="K41" s="29">
        <f t="shared" si="54"/>
        <v>1.0603145808891474</v>
      </c>
      <c r="L41" s="29">
        <f t="shared" si="54"/>
        <v>0.98399974775031229</v>
      </c>
      <c r="M41" s="29">
        <f t="shared" si="54"/>
        <v>1.0736716054831532</v>
      </c>
      <c r="N41" s="29">
        <f t="shared" si="54"/>
        <v>1.0648758285221953</v>
      </c>
      <c r="O41" s="29">
        <f t="shared" si="54"/>
        <v>1.2557501481462554</v>
      </c>
      <c r="P41" s="29">
        <f t="shared" si="54"/>
        <v>1.1977271449720681</v>
      </c>
      <c r="Q41" s="29">
        <f t="shared" si="54"/>
        <v>1.2401553349619165</v>
      </c>
      <c r="R41" s="29">
        <f t="shared" si="54"/>
        <v>1.6216614526388677</v>
      </c>
      <c r="S41" s="29">
        <f t="shared" si="54"/>
        <v>1.8031458681840233</v>
      </c>
      <c r="T41" s="29">
        <f t="shared" si="54"/>
        <v>1.6703746528559906</v>
      </c>
      <c r="U41" s="29">
        <f t="shared" si="54"/>
        <v>1.5550152610837438</v>
      </c>
      <c r="V41" s="29">
        <f t="shared" ref="V41:Y41" si="55">V20/V19</f>
        <v>1.5684528653295129</v>
      </c>
      <c r="W41" s="29">
        <f t="shared" si="55"/>
        <v>1.3800147233047544</v>
      </c>
      <c r="X41" s="29">
        <f t="shared" si="55"/>
        <v>1.3983371126228268</v>
      </c>
      <c r="Y41" s="29">
        <f t="shared" si="55"/>
        <v>1.5021026072329688</v>
      </c>
      <c r="Z41" s="29">
        <f t="shared" ref="Z41:AA41" si="56">Z20/Z19</f>
        <v>1.2620689655172415</v>
      </c>
      <c r="AA41" s="29">
        <f t="shared" si="56"/>
        <v>1.2630350194552531</v>
      </c>
      <c r="AB41" s="1"/>
    </row>
    <row r="42" spans="1:28" x14ac:dyDescent="0.3">
      <c r="A42" s="16" t="s">
        <v>81</v>
      </c>
      <c r="B42" s="17" t="s">
        <v>43</v>
      </c>
      <c r="C42" s="1" t="s">
        <v>60</v>
      </c>
      <c r="D42" s="30">
        <f t="shared" ref="D42:U42" si="57">(D20-D21)/D19</f>
        <v>0.7255355216520265</v>
      </c>
      <c r="E42" s="30">
        <f t="shared" si="57"/>
        <v>0.82095803823014224</v>
      </c>
      <c r="F42" s="30">
        <f t="shared" si="57"/>
        <v>0.79785101106815293</v>
      </c>
      <c r="G42" s="30">
        <f t="shared" si="57"/>
        <v>0.62706379679359592</v>
      </c>
      <c r="H42" s="30">
        <f t="shared" si="57"/>
        <v>0.51277895377015836</v>
      </c>
      <c r="I42" s="30">
        <f t="shared" si="57"/>
        <v>0.4948404525041728</v>
      </c>
      <c r="J42" s="30">
        <f t="shared" si="57"/>
        <v>0.46291203076052889</v>
      </c>
      <c r="K42" s="30">
        <f t="shared" si="57"/>
        <v>0.49972761394245258</v>
      </c>
      <c r="L42" s="30">
        <f t="shared" si="57"/>
        <v>0.47533812409834181</v>
      </c>
      <c r="M42" s="30">
        <f t="shared" si="57"/>
        <v>0.47091131978690759</v>
      </c>
      <c r="N42" s="30">
        <f t="shared" si="57"/>
        <v>0.53726826602572331</v>
      </c>
      <c r="O42" s="30">
        <f t="shared" si="57"/>
        <v>0.76422719924036331</v>
      </c>
      <c r="P42" s="30">
        <f t="shared" si="57"/>
        <v>0.71988768501179323</v>
      </c>
      <c r="Q42" s="30">
        <f t="shared" si="57"/>
        <v>0.65570629175100237</v>
      </c>
      <c r="R42" s="30">
        <f t="shared" si="57"/>
        <v>0.9364881671763281</v>
      </c>
      <c r="S42" s="30">
        <f t="shared" si="57"/>
        <v>1.0462961446239392</v>
      </c>
      <c r="T42" s="30">
        <f t="shared" si="57"/>
        <v>0.88386918353459576</v>
      </c>
      <c r="U42" s="30">
        <f t="shared" si="57"/>
        <v>0.74552557635467975</v>
      </c>
      <c r="V42" s="30">
        <f t="shared" ref="V42:Y42" si="58">(V20-V21)/V19</f>
        <v>0.77769931232091682</v>
      </c>
      <c r="W42" s="30">
        <f t="shared" si="58"/>
        <v>0.63175116913484031</v>
      </c>
      <c r="X42" s="30">
        <f t="shared" si="58"/>
        <v>0.64928193499622067</v>
      </c>
      <c r="Y42" s="30">
        <f t="shared" si="58"/>
        <v>0.61480235492010082</v>
      </c>
      <c r="Z42" s="30">
        <f t="shared" ref="Z42:AA42" si="59">(Z20-Z21)/Z19</f>
        <v>0.58362068965517244</v>
      </c>
      <c r="AA42" s="30">
        <f t="shared" si="59"/>
        <v>0.63501945525291836</v>
      </c>
      <c r="AB42" s="1"/>
    </row>
    <row r="43" spans="1:28" x14ac:dyDescent="0.3">
      <c r="A43" s="18" t="s">
        <v>82</v>
      </c>
      <c r="B43" s="49" t="s">
        <v>44</v>
      </c>
      <c r="C43" s="6" t="s">
        <v>62</v>
      </c>
      <c r="D43" s="29">
        <f t="shared" ref="D43:U43" si="60">D14/D19</f>
        <v>5.0023116042533518E-2</v>
      </c>
      <c r="E43" s="29">
        <f t="shared" si="60"/>
        <v>2.9700708247658213E-2</v>
      </c>
      <c r="F43" s="29">
        <f t="shared" si="60"/>
        <v>3.0726112095023888E-2</v>
      </c>
      <c r="G43" s="29">
        <f t="shared" si="60"/>
        <v>2.6539381868648506E-3</v>
      </c>
      <c r="H43" s="29">
        <f t="shared" si="60"/>
        <v>4.187583220018877E-2</v>
      </c>
      <c r="I43" s="29">
        <f t="shared" si="60"/>
        <v>8.2537258503331171E-2</v>
      </c>
      <c r="J43" s="29">
        <f t="shared" si="60"/>
        <v>8.7368830538804593E-2</v>
      </c>
      <c r="K43" s="29">
        <f t="shared" si="60"/>
        <v>8.2724254209679021E-2</v>
      </c>
      <c r="L43" s="29">
        <f t="shared" si="60"/>
        <v>4.710077201188087E-2</v>
      </c>
      <c r="M43" s="29">
        <f t="shared" si="60"/>
        <v>2.4710302150376586E-2</v>
      </c>
      <c r="N43" s="29">
        <f t="shared" si="60"/>
        <v>7.8045634181953399E-2</v>
      </c>
      <c r="O43" s="29">
        <f t="shared" si="60"/>
        <v>0.17916257012556897</v>
      </c>
      <c r="P43" s="29">
        <f t="shared" si="60"/>
        <v>0.14380256212155512</v>
      </c>
      <c r="Q43" s="29">
        <f t="shared" si="60"/>
        <v>0.15247323604568444</v>
      </c>
      <c r="R43" s="29">
        <f t="shared" si="60"/>
        <v>0.11473126432335831</v>
      </c>
      <c r="S43" s="29">
        <f t="shared" si="60"/>
        <v>0.13420530881907639</v>
      </c>
      <c r="T43" s="29">
        <f t="shared" si="60"/>
        <v>0.14081570744222477</v>
      </c>
      <c r="U43" s="29">
        <f t="shared" si="60"/>
        <v>0.11196999014778326</v>
      </c>
      <c r="V43" s="29">
        <f t="shared" ref="V43:Y43" si="61">V14/V19</f>
        <v>0.13902760267430755</v>
      </c>
      <c r="W43" s="29">
        <f t="shared" si="61"/>
        <v>0.13458745128604829</v>
      </c>
      <c r="X43" s="29">
        <f t="shared" si="61"/>
        <v>0.12925170068027211</v>
      </c>
      <c r="Y43" s="29">
        <f t="shared" si="61"/>
        <v>0.10681244743481917</v>
      </c>
      <c r="Z43" s="29">
        <f t="shared" ref="Z43:AA43" si="62">Z14/Z19</f>
        <v>9.8275862068965519E-2</v>
      </c>
      <c r="AA43" s="29">
        <f t="shared" si="62"/>
        <v>0.1463035019455253</v>
      </c>
      <c r="AB43" s="1"/>
    </row>
    <row r="44" spans="1:28" x14ac:dyDescent="0.3">
      <c r="A44" s="16" t="s">
        <v>83</v>
      </c>
      <c r="B44" s="17" t="s">
        <v>45</v>
      </c>
      <c r="C44" s="1" t="s">
        <v>63</v>
      </c>
      <c r="D44" s="30">
        <f t="shared" ref="D44:U44" si="63">D29/D7</f>
        <v>2.6142285714285713</v>
      </c>
      <c r="E44" s="30">
        <f t="shared" si="63"/>
        <v>4.6879699248120295</v>
      </c>
      <c r="F44" s="30">
        <f t="shared" si="63"/>
        <v>4.9856223088923555</v>
      </c>
      <c r="G44" s="30">
        <f t="shared" si="63"/>
        <v>6.960835840297122</v>
      </c>
      <c r="H44" s="30">
        <f t="shared" si="63"/>
        <v>6.2621107449759927</v>
      </c>
      <c r="I44" s="30">
        <f t="shared" si="63"/>
        <v>6.8527906501982621</v>
      </c>
      <c r="J44" s="30">
        <f t="shared" si="63"/>
        <v>5.2538651719487532</v>
      </c>
      <c r="K44" s="30">
        <f t="shared" si="63"/>
        <v>3.7347426278240188</v>
      </c>
      <c r="L44" s="30">
        <f t="shared" si="63"/>
        <v>2.5285742405855545</v>
      </c>
      <c r="M44" s="30">
        <f t="shared" si="63"/>
        <v>2.631683718329445</v>
      </c>
      <c r="N44" s="30">
        <f t="shared" si="63"/>
        <v>3.6224535630449952</v>
      </c>
      <c r="O44" s="30">
        <f t="shared" si="63"/>
        <v>1.5316059090909093</v>
      </c>
      <c r="P44" s="30">
        <f t="shared" si="63"/>
        <v>1.2755764845681985</v>
      </c>
      <c r="Q44" s="30">
        <f t="shared" si="63"/>
        <v>2.9144562771669653</v>
      </c>
      <c r="R44" s="30">
        <f t="shared" si="63"/>
        <v>2.1621393306833872</v>
      </c>
      <c r="S44" s="30">
        <f t="shared" si="63"/>
        <v>1.2381807542262677</v>
      </c>
      <c r="T44" s="30">
        <f t="shared" si="63"/>
        <v>2.0936920768307319</v>
      </c>
      <c r="U44" s="30">
        <f t="shared" si="63"/>
        <v>2.1910014206919608</v>
      </c>
      <c r="V44" s="30">
        <f t="shared" ref="V44:Y44" si="64">V29/V7</f>
        <v>2.1773603919381821</v>
      </c>
      <c r="W44" s="30">
        <f t="shared" si="64"/>
        <v>1.8411407168037603</v>
      </c>
      <c r="X44" s="30">
        <f t="shared" si="64"/>
        <v>1.7388235294117649</v>
      </c>
      <c r="Y44" s="30">
        <f t="shared" si="64"/>
        <v>0.72413793103448287</v>
      </c>
      <c r="Z44" s="30">
        <f t="shared" ref="Z44" si="65">Z29/Z7</f>
        <v>1.1267123287671232</v>
      </c>
      <c r="AA44" s="30"/>
      <c r="AB44" s="1"/>
    </row>
    <row r="45" spans="1:28" x14ac:dyDescent="0.3">
      <c r="A45" s="18" t="s">
        <v>84</v>
      </c>
      <c r="B45" s="54" t="s">
        <v>99</v>
      </c>
      <c r="C45" s="6" t="s">
        <v>64</v>
      </c>
      <c r="D45" s="29">
        <f t="shared" ref="D45:U45" si="66">D18/D23</f>
        <v>1.4525979945305378</v>
      </c>
      <c r="E45" s="29">
        <f t="shared" si="66"/>
        <v>1.6273757309941521</v>
      </c>
      <c r="F45" s="29">
        <f t="shared" si="66"/>
        <v>1.6722083686058076</v>
      </c>
      <c r="G45" s="29">
        <f t="shared" si="66"/>
        <v>1.7560773417231357</v>
      </c>
      <c r="H45" s="29">
        <f t="shared" si="66"/>
        <v>2.0381086545315092</v>
      </c>
      <c r="I45" s="29">
        <f t="shared" si="66"/>
        <v>2.3734346630675813</v>
      </c>
      <c r="J45" s="29">
        <f t="shared" si="66"/>
        <v>2.1601658336123664</v>
      </c>
      <c r="K45" s="29">
        <f t="shared" si="66"/>
        <v>1.9434575245735999</v>
      </c>
      <c r="L45" s="29">
        <f t="shared" si="66"/>
        <v>1.477503246422776</v>
      </c>
      <c r="M45" s="29">
        <f t="shared" si="66"/>
        <v>1.3635479254369245</v>
      </c>
      <c r="N45" s="29">
        <f t="shared" si="66"/>
        <v>1.6497090338451821</v>
      </c>
      <c r="O45" s="29">
        <f t="shared" si="66"/>
        <v>1.1157656101829241</v>
      </c>
      <c r="P45" s="29">
        <f t="shared" si="66"/>
        <v>1.0675670691628065</v>
      </c>
      <c r="Q45" s="29">
        <f t="shared" si="66"/>
        <v>0.97764358378540595</v>
      </c>
      <c r="R45" s="29">
        <f t="shared" si="66"/>
        <v>0.65578012338570735</v>
      </c>
      <c r="S45" s="29">
        <f t="shared" si="66"/>
        <v>0.56222759348575524</v>
      </c>
      <c r="T45" s="29">
        <f t="shared" si="66"/>
        <v>0.94749216300940442</v>
      </c>
      <c r="U45" s="29">
        <f t="shared" si="66"/>
        <v>1.07734375</v>
      </c>
      <c r="V45" s="29">
        <f t="shared" ref="V45:Y45" si="67">V18/V23</f>
        <v>1.1819620253164558</v>
      </c>
      <c r="W45" s="29">
        <f t="shared" si="67"/>
        <v>1.2838561591430759</v>
      </c>
      <c r="X45" s="29">
        <f t="shared" si="67"/>
        <v>1.346774193548387</v>
      </c>
      <c r="Y45" s="29">
        <f t="shared" si="67"/>
        <v>1.1974522292993628</v>
      </c>
      <c r="Z45" s="29">
        <f t="shared" ref="Z45:AA45" si="68">Z18/Z23</f>
        <v>1.092656142759094</v>
      </c>
      <c r="AA45" s="29">
        <f t="shared" si="68"/>
        <v>1.2244488977955914</v>
      </c>
      <c r="AB45" s="1"/>
    </row>
    <row r="46" spans="1:28" x14ac:dyDescent="0.3">
      <c r="A46" s="18" t="s">
        <v>97</v>
      </c>
      <c r="B46" s="17" t="s">
        <v>100</v>
      </c>
      <c r="C46" s="6" t="s">
        <v>111</v>
      </c>
      <c r="D46" s="28">
        <f t="shared" ref="D46:U46" si="69">D13/D4</f>
        <v>1.7391304347826087E-2</v>
      </c>
      <c r="E46" s="28">
        <f t="shared" si="69"/>
        <v>2.7700831024930751E-2</v>
      </c>
      <c r="F46" s="28">
        <f t="shared" si="69"/>
        <v>3.4210526315789469E-2</v>
      </c>
      <c r="G46" s="28">
        <f t="shared" si="69"/>
        <v>2.0689655172413793E-2</v>
      </c>
      <c r="H46" s="28">
        <f t="shared" si="69"/>
        <v>0.02</v>
      </c>
      <c r="I46" s="28">
        <f t="shared" si="69"/>
        <v>1.5044247787610618E-2</v>
      </c>
      <c r="J46" s="28">
        <f t="shared" si="69"/>
        <v>1.4166666666666666E-2</v>
      </c>
      <c r="K46" s="28">
        <f t="shared" si="69"/>
        <v>1.5151515151515152E-2</v>
      </c>
      <c r="L46" s="28">
        <f t="shared" si="69"/>
        <v>1.6949152542372881E-2</v>
      </c>
      <c r="M46" s="28">
        <f t="shared" si="69"/>
        <v>1.8909899888765295E-2</v>
      </c>
      <c r="N46" s="28">
        <f t="shared" si="69"/>
        <v>3.2425421530479899E-2</v>
      </c>
      <c r="O46" s="28">
        <f t="shared" si="69"/>
        <v>1.682692307692308E-2</v>
      </c>
      <c r="P46" s="28">
        <f t="shared" si="69"/>
        <v>6.0240963855421679E-2</v>
      </c>
      <c r="Q46" s="28">
        <f t="shared" si="69"/>
        <v>4.7500000000000001E-2</v>
      </c>
      <c r="R46" s="28">
        <f t="shared" si="69"/>
        <v>1.0416666666666667E-4</v>
      </c>
      <c r="S46" s="28">
        <f t="shared" si="69"/>
        <v>5.1282051282051282E-4</v>
      </c>
      <c r="T46" s="28">
        <f t="shared" si="69"/>
        <v>2.1978021978021978E-4</v>
      </c>
      <c r="U46" s="28">
        <f t="shared" si="69"/>
        <v>0.10569105691056911</v>
      </c>
      <c r="V46" s="28">
        <f t="shared" ref="V46:AA46" si="70">V13/V4</f>
        <v>0.14678899082568805</v>
      </c>
      <c r="W46" s="28">
        <f t="shared" si="70"/>
        <v>5.6603773584905662E-2</v>
      </c>
      <c r="X46" s="28">
        <f t="shared" si="70"/>
        <v>6.5217391304347824E-2</v>
      </c>
      <c r="Y46" s="28">
        <f t="shared" si="70"/>
        <v>5.2023121387283239E-2</v>
      </c>
      <c r="Z46" s="28">
        <f t="shared" si="70"/>
        <v>4.3333333333333335E-2</v>
      </c>
      <c r="AA46" s="28">
        <f t="shared" si="70"/>
        <v>0</v>
      </c>
      <c r="AB46" s="1"/>
    </row>
  </sheetData>
  <mergeCells count="2">
    <mergeCell ref="A6:A13"/>
    <mergeCell ref="A14:A2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B6442-B938-4EED-A028-B5D171DBC7B0}">
  <sheetPr codeName="Planilha7"/>
  <dimension ref="A2:S46"/>
  <sheetViews>
    <sheetView workbookViewId="0">
      <selection activeCell="S26" sqref="S26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19" width="8.33203125" customWidth="1"/>
  </cols>
  <sheetData>
    <row r="2" spans="1:19" x14ac:dyDescent="0.3">
      <c r="Q2" s="104"/>
      <c r="R2" s="104"/>
      <c r="S2" s="104"/>
    </row>
    <row r="3" spans="1:19" s="10" customFormat="1" x14ac:dyDescent="0.3">
      <c r="A3" s="9" t="s">
        <v>25</v>
      </c>
      <c r="B3" s="8" t="s">
        <v>23</v>
      </c>
      <c r="C3" s="9" t="s">
        <v>24</v>
      </c>
      <c r="D3" s="8">
        <v>6</v>
      </c>
      <c r="E3" s="8">
        <v>7</v>
      </c>
      <c r="F3" s="8">
        <v>8</v>
      </c>
      <c r="G3" s="8">
        <v>9</v>
      </c>
      <c r="H3" s="8">
        <v>10</v>
      </c>
      <c r="I3" s="8">
        <v>11</v>
      </c>
      <c r="J3" s="8">
        <v>12</v>
      </c>
      <c r="K3" s="8">
        <v>13</v>
      </c>
      <c r="L3" s="8">
        <v>14</v>
      </c>
      <c r="M3" s="8">
        <v>15</v>
      </c>
      <c r="N3" s="8">
        <v>16</v>
      </c>
      <c r="O3" s="8">
        <v>17</v>
      </c>
      <c r="P3" s="8">
        <v>18</v>
      </c>
      <c r="Q3" s="8">
        <v>19</v>
      </c>
      <c r="R3" s="8">
        <v>20</v>
      </c>
      <c r="S3" s="8">
        <v>21</v>
      </c>
    </row>
    <row r="4" spans="1:19" x14ac:dyDescent="0.3">
      <c r="A4" s="4" t="s">
        <v>5</v>
      </c>
      <c r="B4" s="11">
        <v>1</v>
      </c>
      <c r="C4" s="6" t="s">
        <v>4</v>
      </c>
      <c r="D4" s="19">
        <v>6</v>
      </c>
      <c r="E4" s="19">
        <v>2.4</v>
      </c>
      <c r="F4" s="19">
        <v>2.1</v>
      </c>
      <c r="G4" s="19">
        <v>2.5499999999999998</v>
      </c>
      <c r="H4" s="19">
        <v>1.51</v>
      </c>
      <c r="I4" s="19">
        <v>0.69</v>
      </c>
      <c r="J4" s="19">
        <v>0.41</v>
      </c>
      <c r="K4" s="19">
        <v>0.84</v>
      </c>
      <c r="L4" s="19">
        <v>0.91</v>
      </c>
      <c r="M4" s="19">
        <v>1.04</v>
      </c>
      <c r="N4" s="19">
        <v>0.98</v>
      </c>
      <c r="O4" s="19">
        <v>1.1499999999999999</v>
      </c>
      <c r="P4" s="19">
        <v>1.69</v>
      </c>
      <c r="Q4" s="19">
        <v>4.5599999999999996</v>
      </c>
      <c r="R4" s="19">
        <v>4.6100000000000003</v>
      </c>
      <c r="S4" s="19">
        <v>3.91</v>
      </c>
    </row>
    <row r="5" spans="1:19" x14ac:dyDescent="0.3">
      <c r="A5" s="5" t="s">
        <v>8</v>
      </c>
      <c r="B5" s="12">
        <v>3</v>
      </c>
      <c r="C5" s="1" t="s">
        <v>86</v>
      </c>
      <c r="D5" s="3">
        <v>15</v>
      </c>
      <c r="E5" s="3">
        <v>15</v>
      </c>
      <c r="F5" s="3">
        <v>15</v>
      </c>
      <c r="G5" s="3">
        <v>15</v>
      </c>
      <c r="H5" s="3">
        <v>23</v>
      </c>
      <c r="I5" s="3">
        <v>23</v>
      </c>
      <c r="J5" s="3">
        <v>23</v>
      </c>
      <c r="K5" s="3">
        <v>23</v>
      </c>
      <c r="L5" s="3">
        <v>23</v>
      </c>
      <c r="M5" s="3">
        <v>23</v>
      </c>
      <c r="N5" s="3">
        <v>23</v>
      </c>
      <c r="O5" s="3">
        <v>23</v>
      </c>
      <c r="P5" s="3">
        <v>23</v>
      </c>
      <c r="Q5" s="3">
        <v>23</v>
      </c>
      <c r="R5" s="3">
        <v>23</v>
      </c>
      <c r="S5" s="3">
        <v>23</v>
      </c>
    </row>
    <row r="6" spans="1:19" x14ac:dyDescent="0.3">
      <c r="A6" s="101" t="s">
        <v>7</v>
      </c>
      <c r="B6" s="13">
        <v>4</v>
      </c>
      <c r="C6" s="6" t="s">
        <v>104</v>
      </c>
      <c r="D6" s="7">
        <v>52</v>
      </c>
      <c r="E6" s="7">
        <v>56.7</v>
      </c>
      <c r="F6" s="7">
        <v>49.5</v>
      </c>
      <c r="G6" s="7">
        <v>46.9</v>
      </c>
      <c r="H6" s="7">
        <v>66.38</v>
      </c>
      <c r="I6" s="7">
        <v>82.9</v>
      </c>
      <c r="J6" s="7">
        <v>91.1</v>
      </c>
      <c r="K6" s="7">
        <v>88.3</v>
      </c>
      <c r="L6" s="7">
        <v>105</v>
      </c>
      <c r="M6" s="7">
        <v>102</v>
      </c>
      <c r="N6" s="7">
        <v>126.075</v>
      </c>
      <c r="O6" s="7">
        <v>128.23500000000001</v>
      </c>
      <c r="P6" s="7">
        <v>121.541</v>
      </c>
      <c r="Q6" s="7">
        <v>145.5</v>
      </c>
      <c r="R6" s="7">
        <v>140</v>
      </c>
      <c r="S6" s="7">
        <v>94</v>
      </c>
    </row>
    <row r="7" spans="1:19" x14ac:dyDescent="0.3">
      <c r="A7" s="101"/>
      <c r="B7" s="13">
        <v>5</v>
      </c>
      <c r="C7" s="1" t="s">
        <v>9</v>
      </c>
      <c r="D7" s="3">
        <v>8.1470000000000002</v>
      </c>
      <c r="E7" s="3">
        <v>14.2</v>
      </c>
      <c r="F7" s="3">
        <v>5.5</v>
      </c>
      <c r="G7" s="3">
        <v>-31.8</v>
      </c>
      <c r="H7" s="3">
        <v>-6</v>
      </c>
      <c r="I7" s="3">
        <v>16.53</v>
      </c>
      <c r="J7" s="3">
        <v>14</v>
      </c>
      <c r="K7" s="3">
        <v>16</v>
      </c>
      <c r="L7" s="3">
        <v>47.4</v>
      </c>
      <c r="M7" s="3">
        <v>43.9</v>
      </c>
      <c r="N7" s="3">
        <v>52.6</v>
      </c>
      <c r="O7" s="3">
        <v>73.7</v>
      </c>
      <c r="P7" s="3">
        <v>43.6</v>
      </c>
      <c r="Q7" s="3">
        <v>70</v>
      </c>
      <c r="R7" s="3">
        <v>98.3</v>
      </c>
      <c r="S7" s="3">
        <v>30.3</v>
      </c>
    </row>
    <row r="8" spans="1:19" x14ac:dyDescent="0.3">
      <c r="A8" s="101"/>
      <c r="B8" s="13">
        <v>6</v>
      </c>
      <c r="C8" s="6" t="s">
        <v>10</v>
      </c>
      <c r="D8" s="7">
        <v>-3.9859300000000002</v>
      </c>
      <c r="E8" s="7">
        <v>-0.79322599999999999</v>
      </c>
      <c r="F8" s="7">
        <v>4</v>
      </c>
      <c r="G8" s="7">
        <v>-29.9</v>
      </c>
      <c r="H8" s="7">
        <v>-11.3</v>
      </c>
      <c r="I8" s="7">
        <v>7.3</v>
      </c>
      <c r="J8" s="7">
        <v>5.0999999999999996</v>
      </c>
      <c r="K8" s="7">
        <v>7.1</v>
      </c>
      <c r="L8" s="7">
        <v>33.5</v>
      </c>
      <c r="M8" s="7">
        <v>30.4</v>
      </c>
      <c r="N8" s="7">
        <v>38.018000000000001</v>
      </c>
      <c r="O8" s="7">
        <v>62.905000000000001</v>
      </c>
      <c r="P8" s="7">
        <v>32.402999999999999</v>
      </c>
      <c r="Q8" s="7">
        <v>32.6</v>
      </c>
      <c r="R8" s="7">
        <v>54</v>
      </c>
      <c r="S8" s="7">
        <v>-25.1</v>
      </c>
    </row>
    <row r="9" spans="1:19" x14ac:dyDescent="0.3">
      <c r="A9" s="101"/>
      <c r="B9" s="13">
        <v>11</v>
      </c>
      <c r="C9" s="1" t="s">
        <v>11</v>
      </c>
      <c r="D9" s="3">
        <v>-5</v>
      </c>
      <c r="E9" s="3">
        <v>-7.2</v>
      </c>
      <c r="F9" s="3">
        <v>-3.8</v>
      </c>
      <c r="G9" s="3">
        <v>-4.9000000000000004</v>
      </c>
      <c r="H9" s="3">
        <v>-14.08</v>
      </c>
      <c r="I9" s="3">
        <v>-15</v>
      </c>
      <c r="J9" s="3">
        <v>-16.899999999999999</v>
      </c>
      <c r="K9" s="3">
        <v>-17.8</v>
      </c>
      <c r="L9" s="3">
        <v>-19.481999999999999</v>
      </c>
      <c r="M9" s="3">
        <v>-23.61</v>
      </c>
      <c r="N9" s="3">
        <v>-17.481000000000002</v>
      </c>
      <c r="O9" s="3">
        <v>-17.521000000000001</v>
      </c>
      <c r="P9" s="3">
        <v>-11.526</v>
      </c>
      <c r="Q9" s="3">
        <v>-6.7</v>
      </c>
      <c r="R9" s="3">
        <v>-4.0999999999999996</v>
      </c>
      <c r="S9" s="3">
        <v>-4.9000000000000004</v>
      </c>
    </row>
    <row r="10" spans="1:19" x14ac:dyDescent="0.3">
      <c r="A10" s="101"/>
      <c r="B10" s="13">
        <v>12</v>
      </c>
      <c r="C10" s="6" t="s">
        <v>12</v>
      </c>
      <c r="D10" s="7">
        <v>-1.19</v>
      </c>
      <c r="E10" s="7">
        <v>15.3</v>
      </c>
      <c r="F10" s="7">
        <v>0.171372</v>
      </c>
      <c r="G10" s="7">
        <v>-34.799999999999997</v>
      </c>
      <c r="H10" s="7">
        <v>-19.2</v>
      </c>
      <c r="I10" s="7">
        <v>-7.6</v>
      </c>
      <c r="J10" s="7">
        <v>-11.8</v>
      </c>
      <c r="K10" s="7">
        <v>-10.7</v>
      </c>
      <c r="L10" s="7">
        <v>14.044</v>
      </c>
      <c r="M10" s="7">
        <v>6.806</v>
      </c>
      <c r="N10" s="7">
        <v>20.536999999999999</v>
      </c>
      <c r="O10" s="7">
        <v>45.384</v>
      </c>
      <c r="P10" s="7">
        <v>20.876999999999999</v>
      </c>
      <c r="Q10" s="7">
        <v>24.6</v>
      </c>
      <c r="R10" s="7">
        <v>46.5</v>
      </c>
      <c r="S10" s="7">
        <v>-34</v>
      </c>
    </row>
    <row r="11" spans="1:19" x14ac:dyDescent="0.3">
      <c r="A11" s="101"/>
      <c r="B11" s="13">
        <v>13</v>
      </c>
      <c r="C11" s="1" t="s">
        <v>13</v>
      </c>
      <c r="D11" s="3">
        <v>2.6196000000000001E-2</v>
      </c>
      <c r="E11" s="3">
        <v>3.8656000000000003E-2</v>
      </c>
      <c r="F11" s="3">
        <v>5.4399999999999997E-2</v>
      </c>
      <c r="G11" s="3">
        <v>6.2636999999999998E-2</v>
      </c>
      <c r="H11" s="3">
        <v>-0.249754</v>
      </c>
      <c r="I11" s="3">
        <v>1.7697000000000001E-2</v>
      </c>
      <c r="J11" s="3">
        <v>0.13396</v>
      </c>
      <c r="K11" s="3">
        <v>0.35536400000000001</v>
      </c>
      <c r="L11" s="3">
        <v>1.21E-4</v>
      </c>
      <c r="M11" s="3">
        <v>2.6600000000000001E-4</v>
      </c>
      <c r="N11" s="3">
        <v>1.4100000000000001E-4</v>
      </c>
      <c r="O11" s="3">
        <v>9.4700000000000003E-4</v>
      </c>
      <c r="P11" s="3">
        <v>0.29499999999999998</v>
      </c>
      <c r="Q11" s="3">
        <v>0</v>
      </c>
      <c r="R11" s="3">
        <v>0</v>
      </c>
      <c r="S11" s="3">
        <v>-16.600000000000001</v>
      </c>
    </row>
    <row r="12" spans="1:19" x14ac:dyDescent="0.3">
      <c r="A12" s="101"/>
      <c r="B12" s="13">
        <v>14</v>
      </c>
      <c r="C12" s="6" t="s">
        <v>105</v>
      </c>
      <c r="D12" s="7">
        <v>-1.22</v>
      </c>
      <c r="E12" s="7">
        <v>15.3</v>
      </c>
      <c r="F12" s="7">
        <v>0.120932</v>
      </c>
      <c r="G12" s="7">
        <v>-34.825851</v>
      </c>
      <c r="H12" s="7">
        <v>-19</v>
      </c>
      <c r="I12" s="7">
        <v>-7.7</v>
      </c>
      <c r="J12" s="7">
        <v>-11.7</v>
      </c>
      <c r="K12" s="7">
        <v>-10.4</v>
      </c>
      <c r="L12" s="7">
        <v>14.164999999999999</v>
      </c>
      <c r="M12" s="7">
        <v>7.0720000000000001</v>
      </c>
      <c r="N12" s="7">
        <v>20.396000000000001</v>
      </c>
      <c r="O12" s="7">
        <v>44.536999999999999</v>
      </c>
      <c r="P12" s="7">
        <v>20.582000000000001</v>
      </c>
      <c r="Q12" s="7">
        <v>28</v>
      </c>
      <c r="R12" s="7">
        <v>41.7</v>
      </c>
      <c r="S12" s="7">
        <v>-17.399999999999999</v>
      </c>
    </row>
    <row r="13" spans="1:19" x14ac:dyDescent="0.3">
      <c r="A13" s="101"/>
      <c r="B13" s="13">
        <v>2</v>
      </c>
      <c r="C13" s="1" t="s">
        <v>15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</row>
    <row r="14" spans="1:19" x14ac:dyDescent="0.3">
      <c r="A14" s="102" t="s">
        <v>14</v>
      </c>
      <c r="B14" s="14">
        <v>8</v>
      </c>
      <c r="C14" s="6" t="s">
        <v>16</v>
      </c>
      <c r="D14" s="7">
        <v>0.18243200000000001</v>
      </c>
      <c r="E14" s="7">
        <v>4.7</v>
      </c>
      <c r="F14" s="7">
        <v>0.40934300000000001</v>
      </c>
      <c r="G14" s="7">
        <v>0.78603500000000004</v>
      </c>
      <c r="H14" s="7">
        <v>6.9</v>
      </c>
      <c r="I14" s="7">
        <v>6.8</v>
      </c>
      <c r="J14" s="7">
        <v>3.4</v>
      </c>
      <c r="K14" s="7">
        <v>0.4</v>
      </c>
      <c r="L14" s="7">
        <v>4.08</v>
      </c>
      <c r="M14" s="7">
        <v>6.742</v>
      </c>
      <c r="N14" s="7">
        <v>30.338000000000001</v>
      </c>
      <c r="O14" s="7">
        <v>13.252000000000001</v>
      </c>
      <c r="P14" s="7">
        <v>7.5389999999999997</v>
      </c>
      <c r="Q14" s="7">
        <v>16.3</v>
      </c>
      <c r="R14" s="7">
        <v>5.3</v>
      </c>
      <c r="S14" s="7">
        <v>44.1</v>
      </c>
    </row>
    <row r="15" spans="1:19" x14ac:dyDescent="0.3">
      <c r="A15" s="103"/>
      <c r="B15" s="14">
        <v>7</v>
      </c>
      <c r="C15" s="1" t="s">
        <v>17</v>
      </c>
      <c r="D15" s="3">
        <v>126</v>
      </c>
      <c r="E15" s="3">
        <v>130.94</v>
      </c>
      <c r="F15" s="3">
        <v>51.3</v>
      </c>
      <c r="G15" s="3">
        <v>107.4</v>
      </c>
      <c r="H15" s="3">
        <v>317</v>
      </c>
      <c r="I15" s="3">
        <v>331.6</v>
      </c>
      <c r="J15" s="3">
        <v>281.5</v>
      </c>
      <c r="K15" s="3">
        <v>290.2</v>
      </c>
      <c r="L15" s="3">
        <v>329.61599999999999</v>
      </c>
      <c r="M15" s="3">
        <v>322.42899999999997</v>
      </c>
      <c r="N15" s="3">
        <v>321</v>
      </c>
      <c r="O15" s="3">
        <v>277.10000000000002</v>
      </c>
      <c r="P15" s="3">
        <v>168.6</v>
      </c>
      <c r="Q15" s="3">
        <v>143.69999999999999</v>
      </c>
      <c r="R15" s="3">
        <v>97</v>
      </c>
      <c r="S15" s="3">
        <v>142.9</v>
      </c>
    </row>
    <row r="16" spans="1:19" x14ac:dyDescent="0.3">
      <c r="A16" s="103"/>
      <c r="B16" s="14">
        <v>9</v>
      </c>
      <c r="C16" s="6" t="s">
        <v>92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</row>
    <row r="17" spans="1:19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</row>
    <row r="18" spans="1:19" x14ac:dyDescent="0.3">
      <c r="A18" s="103"/>
      <c r="B18" s="14">
        <v>15</v>
      </c>
      <c r="C18" s="6" t="s">
        <v>19</v>
      </c>
      <c r="D18" s="7">
        <v>151.86000000000001</v>
      </c>
      <c r="E18" s="7">
        <v>154.93100000000001</v>
      </c>
      <c r="F18" s="7">
        <v>125.05162300000001</v>
      </c>
      <c r="G18" s="7">
        <v>178.63620800000001</v>
      </c>
      <c r="H18" s="7">
        <v>373.8</v>
      </c>
      <c r="I18" s="7">
        <v>379.6</v>
      </c>
      <c r="J18" s="7">
        <v>426.1</v>
      </c>
      <c r="K18" s="7">
        <v>440.5</v>
      </c>
      <c r="L18" s="7">
        <v>449.08</v>
      </c>
      <c r="M18" s="7">
        <v>429.63499999999999</v>
      </c>
      <c r="N18" s="7">
        <v>455.476</v>
      </c>
      <c r="O18" s="7">
        <v>438.33300000000003</v>
      </c>
      <c r="P18" s="7">
        <v>398.25400000000002</v>
      </c>
      <c r="Q18" s="7">
        <v>364.6</v>
      </c>
      <c r="R18" s="7">
        <v>325.89999999999998</v>
      </c>
      <c r="S18" s="7">
        <v>379.6</v>
      </c>
    </row>
    <row r="19" spans="1:19" x14ac:dyDescent="0.3">
      <c r="A19" s="103"/>
      <c r="B19" s="14">
        <v>18</v>
      </c>
      <c r="C19" s="1" t="s">
        <v>21</v>
      </c>
      <c r="D19" s="3">
        <v>101</v>
      </c>
      <c r="E19" s="3">
        <v>73.2</v>
      </c>
      <c r="F19" s="3">
        <v>71.075993999999994</v>
      </c>
      <c r="G19" s="3">
        <v>142.57869400000001</v>
      </c>
      <c r="H19" s="3">
        <v>169.3</v>
      </c>
      <c r="I19" s="3">
        <v>168.6</v>
      </c>
      <c r="J19" s="3">
        <v>258.7</v>
      </c>
      <c r="K19" s="3">
        <v>268.8</v>
      </c>
      <c r="L19" s="3">
        <v>283.77499999999998</v>
      </c>
      <c r="M19" s="3">
        <v>321.12599999999998</v>
      </c>
      <c r="N19" s="3">
        <v>263.887</v>
      </c>
      <c r="O19" s="3">
        <v>141.85599999999999</v>
      </c>
      <c r="P19" s="3">
        <v>215.274</v>
      </c>
      <c r="Q19" s="3">
        <v>154.5</v>
      </c>
      <c r="R19" s="3">
        <v>147.6</v>
      </c>
      <c r="S19" s="3">
        <v>197</v>
      </c>
    </row>
    <row r="20" spans="1:19" x14ac:dyDescent="0.3">
      <c r="A20" s="103"/>
      <c r="B20" s="14">
        <v>17</v>
      </c>
      <c r="C20" s="6" t="s">
        <v>22</v>
      </c>
      <c r="D20" s="7">
        <v>33.5</v>
      </c>
      <c r="E20" s="7">
        <v>32.9</v>
      </c>
      <c r="F20" s="7">
        <v>36</v>
      </c>
      <c r="G20" s="7">
        <v>45.8</v>
      </c>
      <c r="H20" s="7">
        <v>56.9</v>
      </c>
      <c r="I20" s="7">
        <v>58.2</v>
      </c>
      <c r="J20" s="7">
        <v>77.7</v>
      </c>
      <c r="K20" s="7">
        <v>79.599999999999994</v>
      </c>
      <c r="L20" s="7">
        <v>108.88</v>
      </c>
      <c r="M20" s="7">
        <v>89.834999999999994</v>
      </c>
      <c r="N20" s="7">
        <v>116.316</v>
      </c>
      <c r="O20" s="7">
        <v>92.677999999999997</v>
      </c>
      <c r="P20" s="7">
        <v>99.51</v>
      </c>
      <c r="Q20" s="7">
        <v>210.7</v>
      </c>
      <c r="R20" s="7">
        <v>94.6</v>
      </c>
      <c r="S20" s="7">
        <v>102.3</v>
      </c>
    </row>
    <row r="21" spans="1:19" x14ac:dyDescent="0.3">
      <c r="A21" s="103"/>
      <c r="B21" s="14">
        <v>19</v>
      </c>
      <c r="C21" s="1" t="s">
        <v>88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</row>
    <row r="22" spans="1:19" x14ac:dyDescent="0.3">
      <c r="A22" s="103"/>
      <c r="B22" s="14">
        <v>20</v>
      </c>
      <c r="C22" s="6" t="s">
        <v>87</v>
      </c>
      <c r="D22" s="7">
        <v>8.3000000000000007</v>
      </c>
      <c r="E22" s="7">
        <v>13.9</v>
      </c>
      <c r="F22" s="7">
        <v>25.6</v>
      </c>
      <c r="G22" s="7">
        <v>36.299999999999997</v>
      </c>
      <c r="H22" s="7">
        <v>32.6</v>
      </c>
      <c r="I22" s="7">
        <v>28.5</v>
      </c>
      <c r="J22" s="7">
        <v>53.6</v>
      </c>
      <c r="K22" s="7">
        <v>51.8</v>
      </c>
      <c r="L22" s="7">
        <v>79.691000000000003</v>
      </c>
      <c r="M22" s="7">
        <v>62.732999999999997</v>
      </c>
      <c r="N22" s="7">
        <v>70.7</v>
      </c>
      <c r="O22" s="7">
        <v>67.599999999999994</v>
      </c>
      <c r="P22" s="7">
        <v>76.906000000000006</v>
      </c>
      <c r="Q22" s="7">
        <v>74.7</v>
      </c>
      <c r="R22" s="7">
        <v>63.1</v>
      </c>
      <c r="S22" s="7">
        <v>31.7</v>
      </c>
    </row>
    <row r="23" spans="1:19" x14ac:dyDescent="0.3">
      <c r="A23" s="103"/>
      <c r="B23" s="14">
        <v>16</v>
      </c>
      <c r="C23" s="1" t="s">
        <v>20</v>
      </c>
      <c r="D23" s="3">
        <v>11.72625</v>
      </c>
      <c r="E23" s="3">
        <v>22.914721</v>
      </c>
      <c r="F23" s="3">
        <v>23.035653</v>
      </c>
      <c r="G23" s="3">
        <v>-11.790198</v>
      </c>
      <c r="H23" s="3">
        <v>7.4</v>
      </c>
      <c r="I23" s="3">
        <v>2.4</v>
      </c>
      <c r="J23" s="3">
        <v>-14.2</v>
      </c>
      <c r="K23" s="3">
        <v>-23.8</v>
      </c>
      <c r="L23" s="3">
        <v>-8.4009999999999998</v>
      </c>
      <c r="M23" s="3">
        <v>0.57499999999999996</v>
      </c>
      <c r="N23" s="3">
        <v>20.902000000000001</v>
      </c>
      <c r="O23" s="3">
        <v>67.731999999999999</v>
      </c>
      <c r="P23" s="3">
        <v>86.822999999999993</v>
      </c>
      <c r="Q23" s="3">
        <v>119.2</v>
      </c>
      <c r="R23" s="3">
        <v>161.1</v>
      </c>
      <c r="S23" s="3">
        <v>143.69999999999999</v>
      </c>
    </row>
    <row r="25" spans="1:19" x14ac:dyDescent="0.3">
      <c r="A25" s="9" t="s">
        <v>71</v>
      </c>
      <c r="B25" s="8"/>
      <c r="C25" s="9" t="s">
        <v>26</v>
      </c>
      <c r="D25" s="8">
        <v>6</v>
      </c>
      <c r="E25" s="8">
        <v>7</v>
      </c>
      <c r="F25" s="8">
        <v>8</v>
      </c>
      <c r="G25" s="8">
        <v>9</v>
      </c>
      <c r="H25" s="8">
        <v>10</v>
      </c>
      <c r="I25" s="8">
        <v>11</v>
      </c>
      <c r="J25" s="8">
        <v>12</v>
      </c>
      <c r="K25" s="8">
        <v>13</v>
      </c>
      <c r="L25" s="8">
        <v>14</v>
      </c>
      <c r="M25" s="8">
        <v>15</v>
      </c>
      <c r="N25" s="8">
        <v>16</v>
      </c>
      <c r="O25" s="8">
        <v>17</v>
      </c>
      <c r="P25" s="8">
        <v>18</v>
      </c>
      <c r="Q25" s="8">
        <v>19</v>
      </c>
      <c r="R25" s="8">
        <v>20</v>
      </c>
      <c r="S25" s="8">
        <v>21</v>
      </c>
    </row>
    <row r="26" spans="1:19" x14ac:dyDescent="0.3">
      <c r="A26" s="6" t="s">
        <v>65</v>
      </c>
      <c r="B26" s="17" t="s">
        <v>27</v>
      </c>
      <c r="C26" s="6" t="s">
        <v>85</v>
      </c>
      <c r="D26" s="7">
        <f t="shared" ref="D26:S26" si="0">D4*D5</f>
        <v>90</v>
      </c>
      <c r="E26" s="7">
        <f t="shared" si="0"/>
        <v>36</v>
      </c>
      <c r="F26" s="7">
        <f t="shared" si="0"/>
        <v>31.5</v>
      </c>
      <c r="G26" s="7">
        <f t="shared" si="0"/>
        <v>38.25</v>
      </c>
      <c r="H26" s="7">
        <f t="shared" si="0"/>
        <v>34.729999999999997</v>
      </c>
      <c r="I26" s="7">
        <f t="shared" si="0"/>
        <v>15.87</v>
      </c>
      <c r="J26" s="7">
        <f t="shared" si="0"/>
        <v>9.43</v>
      </c>
      <c r="K26" s="7">
        <f t="shared" si="0"/>
        <v>19.32</v>
      </c>
      <c r="L26" s="7">
        <f t="shared" si="0"/>
        <v>20.93</v>
      </c>
      <c r="M26" s="7">
        <f t="shared" si="0"/>
        <v>23.92</v>
      </c>
      <c r="N26" s="7">
        <f t="shared" si="0"/>
        <v>22.54</v>
      </c>
      <c r="O26" s="7">
        <f t="shared" si="0"/>
        <v>26.45</v>
      </c>
      <c r="P26" s="7">
        <f t="shared" si="0"/>
        <v>38.869999999999997</v>
      </c>
      <c r="Q26" s="7">
        <f t="shared" si="0"/>
        <v>104.88</v>
      </c>
      <c r="R26" s="7">
        <f t="shared" si="0"/>
        <v>106.03</v>
      </c>
      <c r="S26" s="7">
        <f t="shared" si="0"/>
        <v>89.93</v>
      </c>
    </row>
    <row r="27" spans="1:19" x14ac:dyDescent="0.3">
      <c r="A27" s="1" t="s">
        <v>66</v>
      </c>
      <c r="B27" s="2" t="s">
        <v>28</v>
      </c>
      <c r="C27" s="1" t="s">
        <v>47</v>
      </c>
      <c r="D27" s="30">
        <f t="shared" ref="D27:S27" si="1">D26/D6</f>
        <v>1.7307692307692308</v>
      </c>
      <c r="E27" s="30">
        <f t="shared" si="1"/>
        <v>0.63492063492063489</v>
      </c>
      <c r="F27" s="30">
        <f t="shared" si="1"/>
        <v>0.63636363636363635</v>
      </c>
      <c r="G27" s="30">
        <f t="shared" si="1"/>
        <v>0.8155650319829425</v>
      </c>
      <c r="H27" s="30">
        <f t="shared" si="1"/>
        <v>0.5231997589635432</v>
      </c>
      <c r="I27" s="30">
        <f t="shared" si="1"/>
        <v>0.19143546441495776</v>
      </c>
      <c r="J27" s="30">
        <f t="shared" si="1"/>
        <v>0.1035126234906696</v>
      </c>
      <c r="K27" s="30">
        <f t="shared" si="1"/>
        <v>0.2187995469988675</v>
      </c>
      <c r="L27" s="30">
        <f t="shared" si="1"/>
        <v>0.19933333333333333</v>
      </c>
      <c r="M27" s="30">
        <f t="shared" si="1"/>
        <v>0.23450980392156864</v>
      </c>
      <c r="N27" s="30">
        <f t="shared" si="1"/>
        <v>0.17878247075153678</v>
      </c>
      <c r="O27" s="30">
        <f t="shared" si="1"/>
        <v>0.20626194096775449</v>
      </c>
      <c r="P27" s="30">
        <f t="shared" si="1"/>
        <v>0.319809776124929</v>
      </c>
      <c r="Q27" s="30">
        <f t="shared" si="1"/>
        <v>0.72082474226804116</v>
      </c>
      <c r="R27" s="30">
        <f t="shared" si="1"/>
        <v>0.75735714285714284</v>
      </c>
      <c r="S27" s="30">
        <f t="shared" si="1"/>
        <v>0.95670212765957452</v>
      </c>
    </row>
    <row r="28" spans="1:19" x14ac:dyDescent="0.3">
      <c r="A28" s="6" t="s">
        <v>67</v>
      </c>
      <c r="B28" s="17" t="s">
        <v>29</v>
      </c>
      <c r="C28" s="6" t="s">
        <v>48</v>
      </c>
      <c r="D28" s="29">
        <f t="shared" ref="D28:S28" si="2">D26/D7</f>
        <v>11.047011169755738</v>
      </c>
      <c r="E28" s="29">
        <f t="shared" si="2"/>
        <v>2.535211267605634</v>
      </c>
      <c r="F28" s="29">
        <f t="shared" si="2"/>
        <v>5.7272727272727275</v>
      </c>
      <c r="G28" s="29">
        <f t="shared" si="2"/>
        <v>-1.2028301886792452</v>
      </c>
      <c r="H28" s="29">
        <f t="shared" si="2"/>
        <v>-5.7883333333333331</v>
      </c>
      <c r="I28" s="29">
        <f t="shared" si="2"/>
        <v>0.96007259528130662</v>
      </c>
      <c r="J28" s="29">
        <f t="shared" si="2"/>
        <v>0.6735714285714286</v>
      </c>
      <c r="K28" s="29">
        <f t="shared" si="2"/>
        <v>1.2075</v>
      </c>
      <c r="L28" s="29">
        <f t="shared" si="2"/>
        <v>0.44156118143459916</v>
      </c>
      <c r="M28" s="29">
        <f t="shared" si="2"/>
        <v>0.54487471526195908</v>
      </c>
      <c r="N28" s="29">
        <f t="shared" si="2"/>
        <v>0.42851711026615968</v>
      </c>
      <c r="O28" s="29">
        <f t="shared" si="2"/>
        <v>0.35888738127544095</v>
      </c>
      <c r="P28" s="29">
        <f t="shared" si="2"/>
        <v>0.89151376146788985</v>
      </c>
      <c r="Q28" s="29">
        <f t="shared" si="2"/>
        <v>1.4982857142857142</v>
      </c>
      <c r="R28" s="29">
        <f t="shared" si="2"/>
        <v>1.0786368260427264</v>
      </c>
      <c r="S28" s="29">
        <f t="shared" si="2"/>
        <v>2.9679867986798683</v>
      </c>
    </row>
    <row r="29" spans="1:19" x14ac:dyDescent="0.3">
      <c r="A29" s="15" t="s">
        <v>68</v>
      </c>
      <c r="B29" s="2" t="s">
        <v>30</v>
      </c>
      <c r="C29" s="1" t="s">
        <v>49</v>
      </c>
      <c r="D29" s="3">
        <f t="shared" ref="D29:S29" si="3">D15-D14</f>
        <v>125.81756799999999</v>
      </c>
      <c r="E29" s="3">
        <f t="shared" si="3"/>
        <v>126.24</v>
      </c>
      <c r="F29" s="3">
        <f t="shared" si="3"/>
        <v>50.890656999999997</v>
      </c>
      <c r="G29" s="3">
        <f t="shared" si="3"/>
        <v>106.61396500000001</v>
      </c>
      <c r="H29" s="3">
        <f t="shared" si="3"/>
        <v>310.10000000000002</v>
      </c>
      <c r="I29" s="3">
        <f t="shared" si="3"/>
        <v>324.8</v>
      </c>
      <c r="J29" s="3">
        <f t="shared" si="3"/>
        <v>278.10000000000002</v>
      </c>
      <c r="K29" s="3">
        <f t="shared" si="3"/>
        <v>289.8</v>
      </c>
      <c r="L29" s="3">
        <f t="shared" si="3"/>
        <v>325.536</v>
      </c>
      <c r="M29" s="3">
        <f t="shared" si="3"/>
        <v>315.68699999999995</v>
      </c>
      <c r="N29" s="3">
        <f t="shared" si="3"/>
        <v>290.66199999999998</v>
      </c>
      <c r="O29" s="3">
        <f t="shared" si="3"/>
        <v>263.84800000000001</v>
      </c>
      <c r="P29" s="3">
        <f t="shared" si="3"/>
        <v>161.06100000000001</v>
      </c>
      <c r="Q29" s="3">
        <f t="shared" si="3"/>
        <v>127.39999999999999</v>
      </c>
      <c r="R29" s="3">
        <f t="shared" si="3"/>
        <v>91.7</v>
      </c>
      <c r="S29" s="3">
        <f t="shared" si="3"/>
        <v>98.800000000000011</v>
      </c>
    </row>
    <row r="30" spans="1:19" x14ac:dyDescent="0.3">
      <c r="A30" s="6" t="s">
        <v>69</v>
      </c>
      <c r="B30" s="17" t="s">
        <v>31</v>
      </c>
      <c r="C30" s="6" t="s">
        <v>50</v>
      </c>
      <c r="D30" s="7">
        <f t="shared" ref="D30:S30" si="4">D26+D29+D16+D17</f>
        <v>215.81756799999999</v>
      </c>
      <c r="E30" s="7">
        <f t="shared" si="4"/>
        <v>162.24</v>
      </c>
      <c r="F30" s="7">
        <f t="shared" si="4"/>
        <v>82.390657000000004</v>
      </c>
      <c r="G30" s="7">
        <f t="shared" si="4"/>
        <v>144.86396500000001</v>
      </c>
      <c r="H30" s="7">
        <f t="shared" si="4"/>
        <v>344.83000000000004</v>
      </c>
      <c r="I30" s="7">
        <f t="shared" si="4"/>
        <v>340.67</v>
      </c>
      <c r="J30" s="7">
        <f t="shared" si="4"/>
        <v>287.53000000000003</v>
      </c>
      <c r="K30" s="7">
        <f t="shared" si="4"/>
        <v>309.12</v>
      </c>
      <c r="L30" s="7">
        <f t="shared" si="4"/>
        <v>346.46600000000001</v>
      </c>
      <c r="M30" s="7">
        <f t="shared" si="4"/>
        <v>339.60699999999997</v>
      </c>
      <c r="N30" s="7">
        <f t="shared" si="4"/>
        <v>313.202</v>
      </c>
      <c r="O30" s="7">
        <f t="shared" si="4"/>
        <v>290.298</v>
      </c>
      <c r="P30" s="7">
        <f t="shared" si="4"/>
        <v>199.93100000000001</v>
      </c>
      <c r="Q30" s="7">
        <f t="shared" si="4"/>
        <v>232.27999999999997</v>
      </c>
      <c r="R30" s="7">
        <f t="shared" si="4"/>
        <v>197.73000000000002</v>
      </c>
      <c r="S30" s="7">
        <f t="shared" si="4"/>
        <v>188.73000000000002</v>
      </c>
    </row>
    <row r="31" spans="1:19" x14ac:dyDescent="0.3">
      <c r="A31" s="1" t="s">
        <v>70</v>
      </c>
      <c r="B31" s="2" t="s">
        <v>32</v>
      </c>
      <c r="C31" s="1" t="s">
        <v>51</v>
      </c>
      <c r="D31" s="30">
        <f t="shared" ref="D31:S31" si="5">D30/D7</f>
        <v>26.49043427028354</v>
      </c>
      <c r="E31" s="30">
        <f t="shared" si="5"/>
        <v>11.425352112676057</v>
      </c>
      <c r="F31" s="30">
        <f t="shared" si="5"/>
        <v>14.980119454545456</v>
      </c>
      <c r="G31" s="30">
        <f t="shared" si="5"/>
        <v>-4.5554705974842769</v>
      </c>
      <c r="H31" s="30">
        <f t="shared" si="5"/>
        <v>-57.471666666666671</v>
      </c>
      <c r="I31" s="30">
        <f t="shared" si="5"/>
        <v>20.609195402298852</v>
      </c>
      <c r="J31" s="30">
        <f t="shared" si="5"/>
        <v>20.537857142857145</v>
      </c>
      <c r="K31" s="30">
        <f t="shared" si="5"/>
        <v>19.32</v>
      </c>
      <c r="L31" s="30">
        <f t="shared" si="5"/>
        <v>7.3094092827004227</v>
      </c>
      <c r="M31" s="30">
        <f t="shared" si="5"/>
        <v>7.7359225512528473</v>
      </c>
      <c r="N31" s="30">
        <f t="shared" si="5"/>
        <v>5.9544106463878324</v>
      </c>
      <c r="O31" s="30">
        <f t="shared" si="5"/>
        <v>3.9389145183175032</v>
      </c>
      <c r="P31" s="30">
        <f t="shared" si="5"/>
        <v>4.5855733944954133</v>
      </c>
      <c r="Q31" s="30">
        <f t="shared" si="5"/>
        <v>3.3182857142857141</v>
      </c>
      <c r="R31" s="30">
        <f t="shared" si="5"/>
        <v>2.0114954221770094</v>
      </c>
      <c r="S31" s="30">
        <f t="shared" si="5"/>
        <v>6.2287128712871294</v>
      </c>
    </row>
    <row r="32" spans="1:19" x14ac:dyDescent="0.3">
      <c r="A32" s="18" t="s">
        <v>72</v>
      </c>
      <c r="B32" s="17" t="s">
        <v>33</v>
      </c>
      <c r="C32" s="6" t="s">
        <v>109</v>
      </c>
      <c r="D32" s="27">
        <f t="shared" ref="D32:S32" si="6">D7/D6</f>
        <v>0.15667307692307691</v>
      </c>
      <c r="E32" s="27">
        <f t="shared" si="6"/>
        <v>0.25044091710758376</v>
      </c>
      <c r="F32" s="27">
        <f t="shared" si="6"/>
        <v>0.1111111111111111</v>
      </c>
      <c r="G32" s="27">
        <f t="shared" si="6"/>
        <v>-0.67803837953091683</v>
      </c>
      <c r="H32" s="27">
        <f t="shared" si="6"/>
        <v>-9.0388671286532093E-2</v>
      </c>
      <c r="I32" s="27">
        <f t="shared" si="6"/>
        <v>0.19939686369119422</v>
      </c>
      <c r="J32" s="27">
        <f t="shared" si="6"/>
        <v>0.15367727771679474</v>
      </c>
      <c r="K32" s="27">
        <f t="shared" si="6"/>
        <v>0.18120045300113252</v>
      </c>
      <c r="L32" s="27">
        <f t="shared" si="6"/>
        <v>0.4514285714285714</v>
      </c>
      <c r="M32" s="27">
        <f t="shared" si="6"/>
        <v>0.43039215686274507</v>
      </c>
      <c r="N32" s="27">
        <f t="shared" si="6"/>
        <v>0.41721197699781876</v>
      </c>
      <c r="O32" s="27">
        <f t="shared" si="6"/>
        <v>0.5747260888213046</v>
      </c>
      <c r="P32" s="27">
        <f t="shared" si="6"/>
        <v>0.35872668482240561</v>
      </c>
      <c r="Q32" s="27">
        <f t="shared" si="6"/>
        <v>0.48109965635738833</v>
      </c>
      <c r="R32" s="27">
        <f t="shared" si="6"/>
        <v>0.70214285714285707</v>
      </c>
      <c r="S32" s="27">
        <f t="shared" si="6"/>
        <v>0.32234042553191489</v>
      </c>
    </row>
    <row r="33" spans="1:19" x14ac:dyDescent="0.3">
      <c r="A33" s="16" t="s">
        <v>73</v>
      </c>
      <c r="B33" s="2" t="s">
        <v>34</v>
      </c>
      <c r="C33" s="1" t="s">
        <v>110</v>
      </c>
      <c r="D33" s="28">
        <f t="shared" ref="D33:S33" si="7">D8/D6</f>
        <v>-7.6652499999999998E-2</v>
      </c>
      <c r="E33" s="28">
        <f t="shared" si="7"/>
        <v>-1.3989876543209876E-2</v>
      </c>
      <c r="F33" s="28">
        <f t="shared" si="7"/>
        <v>8.0808080808080815E-2</v>
      </c>
      <c r="G33" s="28">
        <f t="shared" si="7"/>
        <v>-0.63752665245202556</v>
      </c>
      <c r="H33" s="28">
        <f t="shared" si="7"/>
        <v>-0.17023199758963545</v>
      </c>
      <c r="I33" s="28">
        <f t="shared" si="7"/>
        <v>8.8057901085645346E-2</v>
      </c>
      <c r="J33" s="28">
        <f t="shared" si="7"/>
        <v>5.598243688254665E-2</v>
      </c>
      <c r="K33" s="28">
        <f t="shared" si="7"/>
        <v>8.0407701019252542E-2</v>
      </c>
      <c r="L33" s="28">
        <f t="shared" si="7"/>
        <v>0.31904761904761902</v>
      </c>
      <c r="M33" s="28">
        <f t="shared" si="7"/>
        <v>0.29803921568627451</v>
      </c>
      <c r="N33" s="28">
        <f t="shared" si="7"/>
        <v>0.30155066428713068</v>
      </c>
      <c r="O33" s="28">
        <f t="shared" si="7"/>
        <v>0.49054470308418135</v>
      </c>
      <c r="P33" s="28">
        <f t="shared" si="7"/>
        <v>0.26660139376835801</v>
      </c>
      <c r="Q33" s="28">
        <f t="shared" si="7"/>
        <v>0.22405498281786942</v>
      </c>
      <c r="R33" s="28">
        <f t="shared" si="7"/>
        <v>0.38571428571428573</v>
      </c>
      <c r="S33" s="28">
        <f t="shared" si="7"/>
        <v>-0.26702127659574471</v>
      </c>
    </row>
    <row r="34" spans="1:19" x14ac:dyDescent="0.3">
      <c r="A34" s="18" t="s">
        <v>74</v>
      </c>
      <c r="B34" s="17" t="s">
        <v>35</v>
      </c>
      <c r="C34" s="6" t="s">
        <v>54</v>
      </c>
      <c r="D34" s="27">
        <f t="shared" ref="D34:S34" si="8">D11/D10</f>
        <v>-2.2013445378151263E-2</v>
      </c>
      <c r="E34" s="27">
        <f t="shared" si="8"/>
        <v>2.5265359477124184E-3</v>
      </c>
      <c r="F34" s="27">
        <f t="shared" si="8"/>
        <v>0.31743808790234107</v>
      </c>
      <c r="G34" s="27">
        <f t="shared" si="8"/>
        <v>-1.7999137931034484E-3</v>
      </c>
      <c r="H34" s="27">
        <f t="shared" si="8"/>
        <v>1.3008020833333333E-2</v>
      </c>
      <c r="I34" s="27">
        <f t="shared" si="8"/>
        <v>-2.3285526315789478E-3</v>
      </c>
      <c r="J34" s="27">
        <f t="shared" si="8"/>
        <v>-1.1352542372881354E-2</v>
      </c>
      <c r="K34" s="27">
        <f t="shared" si="8"/>
        <v>-3.3211588785046729E-2</v>
      </c>
      <c r="L34" s="27">
        <f t="shared" si="8"/>
        <v>8.6157789803474793E-6</v>
      </c>
      <c r="M34" s="27">
        <f t="shared" si="8"/>
        <v>3.9083161915956512E-5</v>
      </c>
      <c r="N34" s="27">
        <f t="shared" si="8"/>
        <v>6.8656571066854955E-6</v>
      </c>
      <c r="O34" s="27">
        <f t="shared" si="8"/>
        <v>2.0866384628944122E-5</v>
      </c>
      <c r="P34" s="27">
        <f t="shared" si="8"/>
        <v>1.4130382717823442E-2</v>
      </c>
      <c r="Q34" s="27">
        <f t="shared" si="8"/>
        <v>0</v>
      </c>
      <c r="R34" s="27">
        <f t="shared" si="8"/>
        <v>0</v>
      </c>
      <c r="S34" s="27">
        <f t="shared" si="8"/>
        <v>0.4882352941176471</v>
      </c>
    </row>
    <row r="35" spans="1:19" x14ac:dyDescent="0.3">
      <c r="A35" s="16" t="s">
        <v>75</v>
      </c>
      <c r="B35" s="2" t="s">
        <v>36</v>
      </c>
      <c r="C35" s="1" t="s">
        <v>108</v>
      </c>
      <c r="D35" s="28">
        <f t="shared" ref="D35:S35" si="9">D12/D6</f>
        <v>-2.3461538461538461E-2</v>
      </c>
      <c r="E35" s="28">
        <f t="shared" si="9"/>
        <v>0.26984126984126983</v>
      </c>
      <c r="F35" s="28">
        <f t="shared" si="9"/>
        <v>2.443070707070707E-3</v>
      </c>
      <c r="G35" s="28">
        <f t="shared" si="9"/>
        <v>-0.74255545842217485</v>
      </c>
      <c r="H35" s="28">
        <f t="shared" si="9"/>
        <v>-0.28623079240735161</v>
      </c>
      <c r="I35" s="28">
        <f t="shared" si="9"/>
        <v>-9.2882991556091671E-2</v>
      </c>
      <c r="J35" s="28">
        <f t="shared" si="9"/>
        <v>-0.12843029637760703</v>
      </c>
      <c r="K35" s="28">
        <f t="shared" si="9"/>
        <v>-0.11778029445073614</v>
      </c>
      <c r="L35" s="28">
        <f t="shared" si="9"/>
        <v>0.13490476190476189</v>
      </c>
      <c r="M35" s="28">
        <f t="shared" si="9"/>
        <v>6.933333333333333E-2</v>
      </c>
      <c r="N35" s="28">
        <f t="shared" si="9"/>
        <v>0.16177672020622647</v>
      </c>
      <c r="O35" s="28">
        <f t="shared" si="9"/>
        <v>0.34730767731118645</v>
      </c>
      <c r="P35" s="28">
        <f t="shared" si="9"/>
        <v>0.16934203272969617</v>
      </c>
      <c r="Q35" s="28">
        <f t="shared" si="9"/>
        <v>0.19243986254295534</v>
      </c>
      <c r="R35" s="28">
        <f t="shared" si="9"/>
        <v>0.29785714285714288</v>
      </c>
      <c r="S35" s="28">
        <f t="shared" si="9"/>
        <v>-0.18510638297872339</v>
      </c>
    </row>
    <row r="36" spans="1:19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0</v>
      </c>
      <c r="E36" s="29">
        <f t="shared" ref="E36:S36" si="10">IF(E26/E12&lt;0,0,E26/E12)</f>
        <v>2.3529411764705883</v>
      </c>
      <c r="F36" s="29">
        <f t="shared" si="10"/>
        <v>260.47696225978234</v>
      </c>
      <c r="G36" s="29">
        <f t="shared" si="10"/>
        <v>0</v>
      </c>
      <c r="H36" s="29">
        <f t="shared" si="10"/>
        <v>0</v>
      </c>
      <c r="I36" s="29">
        <f t="shared" si="10"/>
        <v>0</v>
      </c>
      <c r="J36" s="29">
        <f t="shared" si="10"/>
        <v>0</v>
      </c>
      <c r="K36" s="29">
        <f t="shared" si="10"/>
        <v>0</v>
      </c>
      <c r="L36" s="29">
        <f t="shared" si="10"/>
        <v>1.4775855983056831</v>
      </c>
      <c r="M36" s="29">
        <f t="shared" si="10"/>
        <v>3.382352941176471</v>
      </c>
      <c r="N36" s="29">
        <f t="shared" si="10"/>
        <v>1.1051186507158266</v>
      </c>
      <c r="O36" s="29">
        <f t="shared" si="10"/>
        <v>0.59388822776567796</v>
      </c>
      <c r="P36" s="29">
        <f t="shared" si="10"/>
        <v>1.8885433874259059</v>
      </c>
      <c r="Q36" s="29">
        <f t="shared" si="10"/>
        <v>3.7457142857142856</v>
      </c>
      <c r="R36" s="29">
        <f t="shared" si="10"/>
        <v>2.5426858513189448</v>
      </c>
      <c r="S36" s="29">
        <f t="shared" si="10"/>
        <v>0</v>
      </c>
    </row>
    <row r="37" spans="1:19" x14ac:dyDescent="0.3">
      <c r="A37" s="16" t="s">
        <v>77</v>
      </c>
      <c r="B37" s="2" t="s">
        <v>38</v>
      </c>
      <c r="C37" s="1" t="s">
        <v>57</v>
      </c>
      <c r="D37" s="30">
        <f t="shared" ref="D37:S37" si="11">D26/D23</f>
        <v>7.6750879437160213</v>
      </c>
      <c r="E37" s="30">
        <f t="shared" si="11"/>
        <v>1.5710424752716823</v>
      </c>
      <c r="F37" s="30">
        <f t="shared" si="11"/>
        <v>1.3674454985061635</v>
      </c>
      <c r="G37" s="30">
        <f t="shared" si="11"/>
        <v>-3.24422032607086</v>
      </c>
      <c r="H37" s="30">
        <f t="shared" si="11"/>
        <v>4.6932432432432423</v>
      </c>
      <c r="I37" s="30">
        <f t="shared" si="11"/>
        <v>6.6124999999999998</v>
      </c>
      <c r="J37" s="30">
        <f t="shared" si="11"/>
        <v>-0.66408450704225352</v>
      </c>
      <c r="K37" s="30">
        <f t="shared" si="11"/>
        <v>-0.81176470588235294</v>
      </c>
      <c r="L37" s="30">
        <f t="shared" si="11"/>
        <v>-2.4913700749910723</v>
      </c>
      <c r="M37" s="30">
        <f t="shared" si="11"/>
        <v>41.600000000000009</v>
      </c>
      <c r="N37" s="30">
        <f t="shared" si="11"/>
        <v>1.0783657066309442</v>
      </c>
      <c r="O37" s="30">
        <f t="shared" si="11"/>
        <v>0.3905096557018839</v>
      </c>
      <c r="P37" s="30">
        <f t="shared" si="11"/>
        <v>0.44769243172891976</v>
      </c>
      <c r="Q37" s="30">
        <f t="shared" si="11"/>
        <v>0.87986577181208048</v>
      </c>
      <c r="R37" s="30">
        <f t="shared" si="11"/>
        <v>0.65816263190564872</v>
      </c>
      <c r="S37" s="30">
        <f t="shared" si="11"/>
        <v>0.62581767571329172</v>
      </c>
    </row>
    <row r="38" spans="1:19" x14ac:dyDescent="0.3">
      <c r="A38" s="18" t="s">
        <v>78</v>
      </c>
      <c r="B38" s="17" t="s">
        <v>39</v>
      </c>
      <c r="C38" s="6" t="s">
        <v>106</v>
      </c>
      <c r="D38" s="55">
        <f t="shared" ref="D38:S38" si="12">D8/D23</f>
        <v>-0.33991514763884451</v>
      </c>
      <c r="E38" s="55">
        <f t="shared" si="12"/>
        <v>-3.4616437180273761E-2</v>
      </c>
      <c r="F38" s="55">
        <f t="shared" si="12"/>
        <v>0.17364387282617949</v>
      </c>
      <c r="G38" s="55">
        <f t="shared" si="12"/>
        <v>2.5360049084841489</v>
      </c>
      <c r="H38" s="55">
        <f t="shared" si="12"/>
        <v>-1.527027027027027</v>
      </c>
      <c r="I38" s="55">
        <f t="shared" si="12"/>
        <v>3.0416666666666665</v>
      </c>
      <c r="J38" s="55">
        <f t="shared" si="12"/>
        <v>-0.35915492957746475</v>
      </c>
      <c r="K38" s="55">
        <f t="shared" si="12"/>
        <v>-0.29831932773109243</v>
      </c>
      <c r="L38" s="55">
        <f t="shared" si="12"/>
        <v>-3.9876205213665039</v>
      </c>
      <c r="M38" s="55">
        <f t="shared" si="12"/>
        <v>52.869565217391305</v>
      </c>
      <c r="N38" s="55">
        <f t="shared" si="12"/>
        <v>1.8188690077504543</v>
      </c>
      <c r="O38" s="55">
        <f t="shared" si="12"/>
        <v>0.92873383334317605</v>
      </c>
      <c r="P38" s="55">
        <f t="shared" si="12"/>
        <v>0.3732075602087005</v>
      </c>
      <c r="Q38" s="55">
        <f t="shared" si="12"/>
        <v>0.27348993288590606</v>
      </c>
      <c r="R38" s="55">
        <f t="shared" si="12"/>
        <v>0.33519553072625702</v>
      </c>
      <c r="S38" s="55">
        <f t="shared" si="12"/>
        <v>-0.17466945024356301</v>
      </c>
    </row>
    <row r="39" spans="1:19" x14ac:dyDescent="0.3">
      <c r="A39" s="16" t="s">
        <v>79</v>
      </c>
      <c r="B39" s="2" t="s">
        <v>40</v>
      </c>
      <c r="C39" s="1" t="s">
        <v>107</v>
      </c>
      <c r="D39" s="56">
        <f t="shared" ref="D39:S39" si="13">D12/D23</f>
        <v>-0.10404008101481718</v>
      </c>
      <c r="E39" s="56">
        <f t="shared" si="13"/>
        <v>0.66769305199046503</v>
      </c>
      <c r="F39" s="56">
        <f t="shared" si="13"/>
        <v>5.2497752071538843E-3</v>
      </c>
      <c r="G39" s="56">
        <f t="shared" si="13"/>
        <v>2.9537969591350373</v>
      </c>
      <c r="H39" s="56">
        <f t="shared" si="13"/>
        <v>-2.5675675675675675</v>
      </c>
      <c r="I39" s="56">
        <f t="shared" si="13"/>
        <v>-3.2083333333333335</v>
      </c>
      <c r="J39" s="56">
        <f t="shared" si="13"/>
        <v>0.823943661971831</v>
      </c>
      <c r="K39" s="56">
        <f t="shared" si="13"/>
        <v>0.43697478991596639</v>
      </c>
      <c r="L39" s="56">
        <f t="shared" si="13"/>
        <v>-1.6861087965718367</v>
      </c>
      <c r="M39" s="56">
        <f t="shared" si="13"/>
        <v>12.29913043478261</v>
      </c>
      <c r="N39" s="56">
        <f t="shared" si="13"/>
        <v>0.97579179025930529</v>
      </c>
      <c r="O39" s="56">
        <f t="shared" si="13"/>
        <v>0.6575473926652099</v>
      </c>
      <c r="P39" s="56">
        <f t="shared" si="13"/>
        <v>0.23705700102507402</v>
      </c>
      <c r="Q39" s="56">
        <f t="shared" si="13"/>
        <v>0.2348993288590604</v>
      </c>
      <c r="R39" s="56">
        <f t="shared" si="13"/>
        <v>0.25884543761638734</v>
      </c>
      <c r="S39" s="56">
        <f t="shared" si="13"/>
        <v>-0.12108559498956159</v>
      </c>
    </row>
    <row r="40" spans="1:19" x14ac:dyDescent="0.3">
      <c r="A40" s="18" t="s">
        <v>80</v>
      </c>
      <c r="B40" s="17" t="s">
        <v>41</v>
      </c>
      <c r="C40" s="6" t="s">
        <v>61</v>
      </c>
      <c r="D40" s="7">
        <f t="shared" ref="D40:S40" si="14">D20-D19</f>
        <v>-67.5</v>
      </c>
      <c r="E40" s="7">
        <f t="shared" si="14"/>
        <v>-40.300000000000004</v>
      </c>
      <c r="F40" s="7">
        <f t="shared" si="14"/>
        <v>-35.075993999999994</v>
      </c>
      <c r="G40" s="7">
        <f t="shared" si="14"/>
        <v>-96.778694000000016</v>
      </c>
      <c r="H40" s="7">
        <f t="shared" si="14"/>
        <v>-112.4</v>
      </c>
      <c r="I40" s="7">
        <f t="shared" si="14"/>
        <v>-110.39999999999999</v>
      </c>
      <c r="J40" s="7">
        <f t="shared" si="14"/>
        <v>-181</v>
      </c>
      <c r="K40" s="7">
        <f t="shared" si="14"/>
        <v>-189.20000000000002</v>
      </c>
      <c r="L40" s="7">
        <f t="shared" si="14"/>
        <v>-174.89499999999998</v>
      </c>
      <c r="M40" s="7">
        <f t="shared" si="14"/>
        <v>-231.291</v>
      </c>
      <c r="N40" s="7">
        <f t="shared" si="14"/>
        <v>-147.571</v>
      </c>
      <c r="O40" s="7">
        <f t="shared" si="14"/>
        <v>-49.177999999999997</v>
      </c>
      <c r="P40" s="7">
        <f t="shared" si="14"/>
        <v>-115.764</v>
      </c>
      <c r="Q40" s="7">
        <f t="shared" si="14"/>
        <v>56.199999999999989</v>
      </c>
      <c r="R40" s="7">
        <f t="shared" si="14"/>
        <v>-53</v>
      </c>
      <c r="S40" s="7">
        <f t="shared" si="14"/>
        <v>-94.7</v>
      </c>
    </row>
    <row r="41" spans="1:19" x14ac:dyDescent="0.3">
      <c r="A41" s="53" t="s">
        <v>96</v>
      </c>
      <c r="B41" s="49" t="s">
        <v>42</v>
      </c>
      <c r="C41" s="52" t="s">
        <v>98</v>
      </c>
      <c r="D41" s="29">
        <f>D20/D19</f>
        <v>0.3316831683168317</v>
      </c>
      <c r="E41" s="29">
        <f t="shared" ref="E41:S41" si="15">E20/E19</f>
        <v>0.44945355191256825</v>
      </c>
      <c r="F41" s="29">
        <f t="shared" si="15"/>
        <v>0.50650012717374027</v>
      </c>
      <c r="G41" s="29">
        <f t="shared" si="15"/>
        <v>0.32122611531285306</v>
      </c>
      <c r="H41" s="29">
        <f t="shared" si="15"/>
        <v>0.33608978145304191</v>
      </c>
      <c r="I41" s="29">
        <f t="shared" si="15"/>
        <v>0.3451957295373666</v>
      </c>
      <c r="J41" s="29">
        <f t="shared" si="15"/>
        <v>0.30034789331271744</v>
      </c>
      <c r="K41" s="29">
        <f t="shared" si="15"/>
        <v>0.29613095238095233</v>
      </c>
      <c r="L41" s="29">
        <f t="shared" si="15"/>
        <v>0.38368425689366575</v>
      </c>
      <c r="M41" s="29">
        <f t="shared" si="15"/>
        <v>0.2797500046710637</v>
      </c>
      <c r="N41" s="29">
        <f t="shared" si="15"/>
        <v>0.44077957610643953</v>
      </c>
      <c r="O41" s="29">
        <f t="shared" si="15"/>
        <v>0.65332449808256265</v>
      </c>
      <c r="P41" s="29">
        <f t="shared" si="15"/>
        <v>0.46224811170879904</v>
      </c>
      <c r="Q41" s="29">
        <f t="shared" si="15"/>
        <v>1.3637540453074433</v>
      </c>
      <c r="R41" s="29">
        <f t="shared" si="15"/>
        <v>0.64092140921409213</v>
      </c>
      <c r="S41" s="29">
        <f t="shared" si="15"/>
        <v>0.51928934010152283</v>
      </c>
    </row>
    <row r="42" spans="1:19" x14ac:dyDescent="0.3">
      <c r="A42" s="16" t="s">
        <v>81</v>
      </c>
      <c r="B42" s="17" t="s">
        <v>43</v>
      </c>
      <c r="C42" s="1" t="s">
        <v>60</v>
      </c>
      <c r="D42" s="20">
        <f t="shared" ref="D42:S42" si="16">(D20-D21)/D19</f>
        <v>0.3316831683168317</v>
      </c>
      <c r="E42" s="20">
        <f t="shared" si="16"/>
        <v>0.44945355191256825</v>
      </c>
      <c r="F42" s="20">
        <f t="shared" si="16"/>
        <v>0.50650012717374027</v>
      </c>
      <c r="G42" s="20">
        <f t="shared" si="16"/>
        <v>0.32122611531285306</v>
      </c>
      <c r="H42" s="20">
        <f t="shared" si="16"/>
        <v>0.33608978145304191</v>
      </c>
      <c r="I42" s="20">
        <f t="shared" si="16"/>
        <v>0.3451957295373666</v>
      </c>
      <c r="J42" s="20">
        <f t="shared" si="16"/>
        <v>0.30034789331271744</v>
      </c>
      <c r="K42" s="20">
        <f t="shared" si="16"/>
        <v>0.29613095238095233</v>
      </c>
      <c r="L42" s="20">
        <f t="shared" si="16"/>
        <v>0.38368425689366575</v>
      </c>
      <c r="M42" s="20">
        <f t="shared" si="16"/>
        <v>0.2797500046710637</v>
      </c>
      <c r="N42" s="20">
        <f t="shared" si="16"/>
        <v>0.44077957610643953</v>
      </c>
      <c r="O42" s="20">
        <f t="shared" si="16"/>
        <v>0.65332449808256265</v>
      </c>
      <c r="P42" s="20">
        <f t="shared" si="16"/>
        <v>0.46224811170879904</v>
      </c>
      <c r="Q42" s="20">
        <f t="shared" si="16"/>
        <v>1.3637540453074433</v>
      </c>
      <c r="R42" s="20">
        <f t="shared" si="16"/>
        <v>0.64092140921409213</v>
      </c>
      <c r="S42" s="20">
        <f t="shared" si="16"/>
        <v>0.51928934010152283</v>
      </c>
    </row>
    <row r="43" spans="1:19" x14ac:dyDescent="0.3">
      <c r="A43" s="18" t="s">
        <v>82</v>
      </c>
      <c r="B43" s="49" t="s">
        <v>44</v>
      </c>
      <c r="C43" s="6" t="s">
        <v>62</v>
      </c>
      <c r="D43" s="21">
        <f t="shared" ref="D43:S43" si="17">D14/D19</f>
        <v>1.8062574257425744E-3</v>
      </c>
      <c r="E43" s="21">
        <f t="shared" si="17"/>
        <v>6.4207650273224046E-2</v>
      </c>
      <c r="F43" s="21">
        <f t="shared" si="17"/>
        <v>5.7592300432688995E-3</v>
      </c>
      <c r="G43" s="21">
        <f t="shared" si="17"/>
        <v>5.5129906015270414E-3</v>
      </c>
      <c r="H43" s="21">
        <f t="shared" si="17"/>
        <v>4.0756054341405785E-2</v>
      </c>
      <c r="I43" s="21">
        <f t="shared" si="17"/>
        <v>4.0332147093712932E-2</v>
      </c>
      <c r="J43" s="21">
        <f t="shared" si="17"/>
        <v>1.3142636258214147E-2</v>
      </c>
      <c r="K43" s="21">
        <f t="shared" si="17"/>
        <v>1.488095238095238E-3</v>
      </c>
      <c r="L43" s="21">
        <f t="shared" si="17"/>
        <v>1.4377587877720026E-2</v>
      </c>
      <c r="M43" s="21">
        <f t="shared" si="17"/>
        <v>2.0994874286105768E-2</v>
      </c>
      <c r="N43" s="21">
        <f t="shared" si="17"/>
        <v>0.11496587554521444</v>
      </c>
      <c r="O43" s="21">
        <f t="shared" si="17"/>
        <v>9.3418678096097454E-2</v>
      </c>
      <c r="P43" s="21">
        <f t="shared" si="17"/>
        <v>3.5020485520778168E-2</v>
      </c>
      <c r="Q43" s="21">
        <f t="shared" si="17"/>
        <v>0.10550161812297736</v>
      </c>
      <c r="R43" s="21">
        <f t="shared" si="17"/>
        <v>3.5907859078590787E-2</v>
      </c>
      <c r="S43" s="21">
        <f t="shared" si="17"/>
        <v>0.22385786802030458</v>
      </c>
    </row>
    <row r="44" spans="1:19" x14ac:dyDescent="0.3">
      <c r="A44" s="16" t="s">
        <v>83</v>
      </c>
      <c r="B44" s="17" t="s">
        <v>45</v>
      </c>
      <c r="C44" s="1" t="s">
        <v>63</v>
      </c>
      <c r="D44" s="20">
        <f t="shared" ref="D44:S44" si="18">D29/D7</f>
        <v>15.4434231005278</v>
      </c>
      <c r="E44" s="20">
        <f t="shared" si="18"/>
        <v>8.8901408450704231</v>
      </c>
      <c r="F44" s="20">
        <f t="shared" si="18"/>
        <v>9.2528467272727273</v>
      </c>
      <c r="G44" s="20">
        <f t="shared" si="18"/>
        <v>-3.3526404088050317</v>
      </c>
      <c r="H44" s="20">
        <f t="shared" si="18"/>
        <v>-51.683333333333337</v>
      </c>
      <c r="I44" s="20">
        <f t="shared" si="18"/>
        <v>19.649122807017545</v>
      </c>
      <c r="J44" s="20">
        <f t="shared" si="18"/>
        <v>19.864285714285717</v>
      </c>
      <c r="K44" s="20">
        <f t="shared" si="18"/>
        <v>18.112500000000001</v>
      </c>
      <c r="L44" s="20">
        <f t="shared" si="18"/>
        <v>6.8678481012658228</v>
      </c>
      <c r="M44" s="20">
        <f t="shared" si="18"/>
        <v>7.1910478359908874</v>
      </c>
      <c r="N44" s="20">
        <f t="shared" si="18"/>
        <v>5.5258935361216723</v>
      </c>
      <c r="O44" s="20">
        <f t="shared" si="18"/>
        <v>3.5800271370420624</v>
      </c>
      <c r="P44" s="20">
        <f t="shared" si="18"/>
        <v>3.694059633027523</v>
      </c>
      <c r="Q44" s="20">
        <f t="shared" si="18"/>
        <v>1.8199999999999998</v>
      </c>
      <c r="R44" s="20">
        <f t="shared" si="18"/>
        <v>0.9328585961342829</v>
      </c>
      <c r="S44" s="20">
        <f t="shared" si="18"/>
        <v>3.2607260726072611</v>
      </c>
    </row>
    <row r="45" spans="1:19" x14ac:dyDescent="0.3">
      <c r="A45" s="18" t="s">
        <v>84</v>
      </c>
      <c r="B45" s="54" t="s">
        <v>99</v>
      </c>
      <c r="C45" s="6" t="s">
        <v>64</v>
      </c>
      <c r="D45" s="21">
        <f t="shared" ref="D45:S45" si="19">D18/D23</f>
        <v>12.950431723696834</v>
      </c>
      <c r="E45" s="21">
        <f t="shared" si="19"/>
        <v>6.7611994926754733</v>
      </c>
      <c r="F45" s="21">
        <f t="shared" si="19"/>
        <v>5.4286120302298357</v>
      </c>
      <c r="G45" s="21">
        <f t="shared" si="19"/>
        <v>-15.151247502374432</v>
      </c>
      <c r="H45" s="21">
        <f t="shared" si="19"/>
        <v>50.513513513513516</v>
      </c>
      <c r="I45" s="21">
        <f t="shared" si="19"/>
        <v>158.16666666666669</v>
      </c>
      <c r="J45" s="21">
        <f t="shared" si="19"/>
        <v>-30.007042253521131</v>
      </c>
      <c r="K45" s="21">
        <f t="shared" si="19"/>
        <v>-18.508403361344538</v>
      </c>
      <c r="L45" s="21">
        <f t="shared" si="19"/>
        <v>-53.455541007022973</v>
      </c>
      <c r="M45" s="21">
        <f t="shared" si="19"/>
        <v>747.19130434782608</v>
      </c>
      <c r="N45" s="21">
        <f t="shared" si="19"/>
        <v>21.791024782317482</v>
      </c>
      <c r="O45" s="21">
        <f t="shared" si="19"/>
        <v>6.4715791649441927</v>
      </c>
      <c r="P45" s="21">
        <f t="shared" si="19"/>
        <v>4.586964283657557</v>
      </c>
      <c r="Q45" s="21">
        <f t="shared" si="19"/>
        <v>3.0587248322147653</v>
      </c>
      <c r="R45" s="21">
        <f t="shared" si="19"/>
        <v>2.0229671011793915</v>
      </c>
      <c r="S45" s="21">
        <f t="shared" si="19"/>
        <v>2.6416144745998613</v>
      </c>
    </row>
    <row r="46" spans="1:19" x14ac:dyDescent="0.3">
      <c r="A46" s="18" t="s">
        <v>97</v>
      </c>
      <c r="B46" s="17" t="s">
        <v>100</v>
      </c>
      <c r="C46" s="6" t="s">
        <v>111</v>
      </c>
      <c r="D46" s="28">
        <f>D13/D4</f>
        <v>0</v>
      </c>
      <c r="E46" s="28">
        <f t="shared" ref="E46:S46" si="20">E13/E4</f>
        <v>0</v>
      </c>
      <c r="F46" s="28">
        <f t="shared" si="20"/>
        <v>0</v>
      </c>
      <c r="G46" s="28">
        <f t="shared" si="20"/>
        <v>0</v>
      </c>
      <c r="H46" s="28">
        <f t="shared" si="20"/>
        <v>0</v>
      </c>
      <c r="I46" s="28">
        <f t="shared" si="20"/>
        <v>0</v>
      </c>
      <c r="J46" s="28">
        <f t="shared" si="20"/>
        <v>0</v>
      </c>
      <c r="K46" s="28">
        <f t="shared" si="20"/>
        <v>0</v>
      </c>
      <c r="L46" s="28">
        <f t="shared" si="20"/>
        <v>0</v>
      </c>
      <c r="M46" s="28">
        <f t="shared" si="20"/>
        <v>0</v>
      </c>
      <c r="N46" s="28">
        <f t="shared" si="20"/>
        <v>0</v>
      </c>
      <c r="O46" s="28">
        <f t="shared" si="20"/>
        <v>0</v>
      </c>
      <c r="P46" s="28">
        <f t="shared" si="20"/>
        <v>0</v>
      </c>
      <c r="Q46" s="28">
        <f t="shared" si="20"/>
        <v>0</v>
      </c>
      <c r="R46" s="28">
        <f t="shared" si="20"/>
        <v>0</v>
      </c>
      <c r="S46" s="28">
        <f t="shared" si="20"/>
        <v>0</v>
      </c>
    </row>
  </sheetData>
  <mergeCells count="3">
    <mergeCell ref="A6:A13"/>
    <mergeCell ref="A14:A23"/>
    <mergeCell ref="Q2:S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9E2BC-F7E3-4569-A961-1FF62C75DF07}">
  <sheetPr codeName="Planilha8"/>
  <dimension ref="A3:AC66"/>
  <sheetViews>
    <sheetView zoomScaleNormal="100" workbookViewId="0">
      <pane xSplit="3" ySplit="3" topLeftCell="K26" activePane="bottomRight" state="frozen"/>
      <selection activeCell="C22" sqref="C22"/>
      <selection pane="topRight" activeCell="C22" sqref="C22"/>
      <selection pane="bottomLeft" activeCell="C22" sqref="C22"/>
      <selection pane="bottomRight" activeCell="AB30" sqref="AB30"/>
    </sheetView>
  </sheetViews>
  <sheetFormatPr defaultRowHeight="14.4" x14ac:dyDescent="0.3"/>
  <cols>
    <col min="1" max="1" width="15.5546875" bestFit="1" customWidth="1"/>
    <col min="2" max="2" width="4" bestFit="1" customWidth="1"/>
    <col min="3" max="3" width="21.88671875" bestFit="1" customWidth="1"/>
    <col min="4" max="13" width="8.33203125" customWidth="1"/>
    <col min="14" max="14" width="8.88671875" bestFit="1" customWidth="1"/>
    <col min="15" max="27" width="8.33203125" customWidth="1"/>
  </cols>
  <sheetData>
    <row r="3" spans="1:29" s="10" customFormat="1" x14ac:dyDescent="0.3">
      <c r="A3" s="9" t="s">
        <v>25</v>
      </c>
      <c r="B3" s="8" t="s">
        <v>23</v>
      </c>
      <c r="C3" s="9" t="s">
        <v>24</v>
      </c>
      <c r="D3" s="8">
        <v>98</v>
      </c>
      <c r="E3" s="8">
        <v>99</v>
      </c>
      <c r="F3" s="8">
        <v>2000</v>
      </c>
      <c r="G3" s="8">
        <v>1</v>
      </c>
      <c r="H3" s="8">
        <v>2</v>
      </c>
      <c r="I3" s="8">
        <v>3</v>
      </c>
      <c r="J3" s="8">
        <v>4</v>
      </c>
      <c r="K3" s="8">
        <v>5</v>
      </c>
      <c r="L3" s="8">
        <v>6</v>
      </c>
      <c r="M3" s="8">
        <v>7</v>
      </c>
      <c r="N3" s="8">
        <v>8</v>
      </c>
      <c r="O3" s="8">
        <v>9</v>
      </c>
      <c r="P3" s="8">
        <v>10</v>
      </c>
      <c r="Q3" s="8">
        <v>11</v>
      </c>
      <c r="R3" s="8">
        <v>12</v>
      </c>
      <c r="S3" s="8">
        <v>13</v>
      </c>
      <c r="T3" s="8">
        <v>14</v>
      </c>
      <c r="U3" s="8">
        <v>15</v>
      </c>
      <c r="V3" s="8">
        <v>16</v>
      </c>
      <c r="W3" s="8">
        <v>17</v>
      </c>
      <c r="X3" s="8">
        <v>18</v>
      </c>
      <c r="Y3" s="8">
        <v>19</v>
      </c>
      <c r="Z3" s="8">
        <v>20</v>
      </c>
      <c r="AA3" s="8" t="s">
        <v>3</v>
      </c>
      <c r="AB3" s="8" t="s">
        <v>94</v>
      </c>
      <c r="AC3" s="8" t="s">
        <v>116</v>
      </c>
    </row>
    <row r="4" spans="1:29" x14ac:dyDescent="0.3">
      <c r="A4" s="4" t="s">
        <v>5</v>
      </c>
      <c r="B4" s="11">
        <v>1</v>
      </c>
      <c r="C4" s="6" t="s">
        <v>4</v>
      </c>
      <c r="D4" s="19">
        <f>1.068/2</f>
        <v>0.53400000000000003</v>
      </c>
      <c r="E4" s="19">
        <f>1.6789/2</f>
        <v>0.83945000000000003</v>
      </c>
      <c r="F4" s="19">
        <f>2.789/2</f>
        <v>1.3945000000000001</v>
      </c>
      <c r="G4" s="19">
        <f>2.18/2</f>
        <v>1.0900000000000001</v>
      </c>
      <c r="H4" s="19">
        <f>2.33/2</f>
        <v>1.165</v>
      </c>
      <c r="I4" s="19">
        <f>2.5295/2</f>
        <v>1.26475</v>
      </c>
      <c r="J4" s="19">
        <f>3.64/2</f>
        <v>1.82</v>
      </c>
      <c r="K4" s="19">
        <f>3.02/2</f>
        <v>1.51</v>
      </c>
      <c r="L4" s="19">
        <v>1.82</v>
      </c>
      <c r="M4" s="19">
        <v>1.53</v>
      </c>
      <c r="N4" s="19">
        <v>0.45</v>
      </c>
      <c r="O4" s="19">
        <v>1.06</v>
      </c>
      <c r="P4" s="19">
        <v>0.69</v>
      </c>
      <c r="Q4" s="19">
        <v>0.76</v>
      </c>
      <c r="R4" s="19">
        <v>0.59</v>
      </c>
      <c r="S4" s="19">
        <v>0.5</v>
      </c>
      <c r="T4" s="19">
        <v>0.47199999999999998</v>
      </c>
      <c r="U4" s="19">
        <v>0.44500000000000001</v>
      </c>
      <c r="V4" s="19">
        <v>0.26</v>
      </c>
      <c r="W4" s="19">
        <v>0.44900000000000001</v>
      </c>
      <c r="X4" s="19">
        <v>0.55400000000000005</v>
      </c>
      <c r="Y4" s="19">
        <v>0.41</v>
      </c>
      <c r="Z4" s="19">
        <v>0.24</v>
      </c>
      <c r="AA4" s="19">
        <v>0.23400000000000001</v>
      </c>
      <c r="AB4" s="19">
        <v>0.25900000000000001</v>
      </c>
      <c r="AC4" s="19">
        <v>0.25900000000000001</v>
      </c>
    </row>
    <row r="5" spans="1:29" x14ac:dyDescent="0.3">
      <c r="A5" s="5" t="s">
        <v>8</v>
      </c>
      <c r="B5" s="12">
        <v>3</v>
      </c>
      <c r="C5" s="1" t="s">
        <v>86</v>
      </c>
      <c r="D5" s="3">
        <f>49.8798*2</f>
        <v>99.759600000000006</v>
      </c>
      <c r="E5" s="3">
        <f>49.8798*2</f>
        <v>99.759600000000006</v>
      </c>
      <c r="F5" s="3">
        <f>49.87988*2</f>
        <v>99.75976</v>
      </c>
      <c r="G5" s="3">
        <f>50*2</f>
        <v>100</v>
      </c>
      <c r="H5" s="3">
        <f>50*2</f>
        <v>100</v>
      </c>
      <c r="I5" s="3">
        <f>50*2</f>
        <v>100</v>
      </c>
      <c r="J5" s="3">
        <f>50*2</f>
        <v>100</v>
      </c>
      <c r="K5" s="3">
        <f>51.282918*2</f>
        <v>102.565836</v>
      </c>
      <c r="L5" s="3">
        <v>102.565836</v>
      </c>
      <c r="M5" s="3">
        <v>102.565836</v>
      </c>
      <c r="N5" s="3">
        <v>102.565836</v>
      </c>
      <c r="O5" s="3">
        <v>102.565836</v>
      </c>
      <c r="P5" s="3">
        <v>102.565836</v>
      </c>
      <c r="Q5" s="3">
        <v>102.565836</v>
      </c>
      <c r="R5" s="3">
        <v>102.565836</v>
      </c>
      <c r="S5" s="3">
        <v>102.565836</v>
      </c>
      <c r="T5" s="3">
        <v>102.565836</v>
      </c>
      <c r="U5" s="3">
        <v>102.565836</v>
      </c>
      <c r="V5" s="3">
        <v>102.565836</v>
      </c>
      <c r="W5" s="3">
        <v>102.565836</v>
      </c>
      <c r="X5" s="3">
        <v>102.565836</v>
      </c>
      <c r="Y5" s="3">
        <v>102.55255255</v>
      </c>
      <c r="Z5" s="3">
        <v>102.565836</v>
      </c>
      <c r="AA5" s="3">
        <v>102.565836</v>
      </c>
      <c r="AB5" s="62">
        <v>103</v>
      </c>
      <c r="AC5" s="62">
        <v>103</v>
      </c>
    </row>
    <row r="6" spans="1:29" x14ac:dyDescent="0.3">
      <c r="A6" s="101" t="s">
        <v>7</v>
      </c>
      <c r="B6" s="13">
        <v>4</v>
      </c>
      <c r="C6" s="6" t="s">
        <v>104</v>
      </c>
      <c r="D6" s="7">
        <v>94.986384999999999</v>
      </c>
      <c r="E6" s="7">
        <v>110.53712</v>
      </c>
      <c r="F6" s="7">
        <v>162.40006099999999</v>
      </c>
      <c r="G6" s="7">
        <v>211.35437899999999</v>
      </c>
      <c r="H6" s="7">
        <v>216.583</v>
      </c>
      <c r="I6" s="7">
        <v>218.27600000000001</v>
      </c>
      <c r="J6" s="7">
        <v>275.38039099999997</v>
      </c>
      <c r="K6" s="7">
        <v>129.77681000000001</v>
      </c>
      <c r="L6" s="7">
        <v>131.30000000000001</v>
      </c>
      <c r="M6" s="7">
        <v>134.63522599999999</v>
      </c>
      <c r="N6" s="7">
        <v>144.03299999999999</v>
      </c>
      <c r="O6" s="7">
        <v>134.05283</v>
      </c>
      <c r="P6" s="7">
        <v>136.31398999999999</v>
      </c>
      <c r="Q6" s="7">
        <v>126.6772</v>
      </c>
      <c r="R6" s="7">
        <v>113.32729999999999</v>
      </c>
      <c r="S6" s="7">
        <v>107.65907</v>
      </c>
      <c r="T6" s="7">
        <v>106.07747000000001</v>
      </c>
      <c r="U6" s="7">
        <v>100.67565999999999</v>
      </c>
      <c r="V6" s="7">
        <v>99.925563999999994</v>
      </c>
      <c r="W6" s="7">
        <v>91.057924</v>
      </c>
      <c r="X6" s="7">
        <v>91.04</v>
      </c>
      <c r="Y6" s="7">
        <v>90.28</v>
      </c>
      <c r="Z6" s="7">
        <v>71.44</v>
      </c>
      <c r="AA6" s="67">
        <v>74</v>
      </c>
      <c r="AB6" s="67">
        <v>75</v>
      </c>
      <c r="AC6" s="81">
        <v>75</v>
      </c>
    </row>
    <row r="7" spans="1:29" x14ac:dyDescent="0.3">
      <c r="A7" s="101"/>
      <c r="B7" s="13">
        <v>5</v>
      </c>
      <c r="C7" s="1" t="s">
        <v>9</v>
      </c>
      <c r="D7" s="3">
        <v>19.878495000000001</v>
      </c>
      <c r="E7" s="3">
        <v>23.425674999999998</v>
      </c>
      <c r="F7" s="3">
        <v>25.608554000000002</v>
      </c>
      <c r="G7" s="3">
        <v>32.823155999999997</v>
      </c>
      <c r="H7" s="3">
        <v>39.683999999999997</v>
      </c>
      <c r="I7" s="3">
        <v>37.973999999999997</v>
      </c>
      <c r="J7" s="3">
        <v>39.090000000000003</v>
      </c>
      <c r="K7" s="3">
        <v>16.23</v>
      </c>
      <c r="L7" s="3">
        <v>17.78</v>
      </c>
      <c r="M7" s="3">
        <v>20.55</v>
      </c>
      <c r="N7" s="3">
        <v>21.721800000000002</v>
      </c>
      <c r="O7" s="3">
        <v>23.221142</v>
      </c>
      <c r="P7" s="3">
        <v>25.5</v>
      </c>
      <c r="Q7" s="3">
        <v>23.194652999999999</v>
      </c>
      <c r="R7" s="3">
        <v>16.944227000000001</v>
      </c>
      <c r="S7" s="3">
        <v>17.673931</v>
      </c>
      <c r="T7" s="3">
        <v>18.521518</v>
      </c>
      <c r="U7" s="3">
        <v>13.119707999999999</v>
      </c>
      <c r="V7" s="3">
        <v>14.548026999999999</v>
      </c>
      <c r="W7" s="3">
        <v>10.946673000000001</v>
      </c>
      <c r="X7" s="3">
        <v>15.47</v>
      </c>
      <c r="Y7" s="3">
        <v>15</v>
      </c>
      <c r="Z7" s="3">
        <v>10.039999999999999</v>
      </c>
      <c r="AA7" s="66">
        <v>14</v>
      </c>
      <c r="AB7" s="81">
        <v>15</v>
      </c>
      <c r="AC7" s="81">
        <v>15</v>
      </c>
    </row>
    <row r="8" spans="1:29" x14ac:dyDescent="0.3">
      <c r="A8" s="101"/>
      <c r="B8" s="13">
        <v>6</v>
      </c>
      <c r="C8" s="6" t="s">
        <v>10</v>
      </c>
      <c r="D8" s="7">
        <v>11.215490000000001</v>
      </c>
      <c r="E8" s="7">
        <v>13.080795</v>
      </c>
      <c r="F8" s="7">
        <v>28.507525999999999</v>
      </c>
      <c r="G8" s="7">
        <v>25.72899</v>
      </c>
      <c r="H8" s="7">
        <v>20.803999999999998</v>
      </c>
      <c r="I8" s="7">
        <v>17.66</v>
      </c>
      <c r="J8" s="7">
        <v>28.579149000000001</v>
      </c>
      <c r="K8" s="7">
        <v>13.338462</v>
      </c>
      <c r="L8" s="7">
        <v>14.660759000000001</v>
      </c>
      <c r="M8" s="7">
        <v>16.934519999999999</v>
      </c>
      <c r="N8" s="7">
        <v>18.14</v>
      </c>
      <c r="O8" s="7">
        <v>20.25</v>
      </c>
      <c r="P8" s="7">
        <v>21.881114</v>
      </c>
      <c r="Q8" s="7">
        <v>19.831866000000002</v>
      </c>
      <c r="R8" s="7">
        <v>13.772224</v>
      </c>
      <c r="S8" s="7">
        <v>13.801475999999999</v>
      </c>
      <c r="T8" s="7">
        <v>15.594704999999999</v>
      </c>
      <c r="U8" s="7">
        <v>10.198207999999999</v>
      </c>
      <c r="V8" s="7">
        <v>12.333449999999999</v>
      </c>
      <c r="W8" s="7">
        <v>9.4350710000000007</v>
      </c>
      <c r="X8" s="7">
        <v>13.64</v>
      </c>
      <c r="Y8" s="7">
        <v>13.24</v>
      </c>
      <c r="Z8" s="7">
        <v>6.6269999999999998</v>
      </c>
      <c r="AA8" s="67">
        <v>10</v>
      </c>
      <c r="AB8" s="81">
        <v>11</v>
      </c>
      <c r="AC8" s="81">
        <v>11</v>
      </c>
    </row>
    <row r="9" spans="1:29" x14ac:dyDescent="0.3">
      <c r="A9" s="101"/>
      <c r="B9" s="13">
        <v>11</v>
      </c>
      <c r="C9" s="1" t="s">
        <v>11</v>
      </c>
      <c r="D9" s="3">
        <v>-0.85155000000000003</v>
      </c>
      <c r="E9" s="3">
        <v>4.8919999999999998E-2</v>
      </c>
      <c r="F9" s="3">
        <v>-10.563143</v>
      </c>
      <c r="G9" s="3">
        <v>-10.824571000000001</v>
      </c>
      <c r="H9" s="3">
        <v>-10.239000000000001</v>
      </c>
      <c r="I9" s="3">
        <v>-3.7610000000000001</v>
      </c>
      <c r="J9" s="3">
        <v>-6.87</v>
      </c>
      <c r="K9" s="3">
        <v>-5.9390000000000001</v>
      </c>
      <c r="L9" s="3">
        <v>-1.7650999999999999</v>
      </c>
      <c r="M9" s="3">
        <v>-13.0511</v>
      </c>
      <c r="N9" s="3">
        <v>-89.515488000000005</v>
      </c>
      <c r="O9" s="3">
        <v>4.5650000000000004</v>
      </c>
      <c r="P9" s="3">
        <v>-18.769545000000001</v>
      </c>
      <c r="Q9" s="3">
        <v>-6.4644139999999997</v>
      </c>
      <c r="R9" s="3">
        <v>-3.8705370000000001</v>
      </c>
      <c r="S9" s="3">
        <v>-4.2905329999999999</v>
      </c>
      <c r="T9" s="3">
        <v>-5.7023650000000004</v>
      </c>
      <c r="U9" s="3">
        <v>-1.8210189999999999</v>
      </c>
      <c r="V9" s="3">
        <v>-6.2369960000000004</v>
      </c>
      <c r="W9" s="3">
        <v>-2.7461030000000002</v>
      </c>
      <c r="X9" s="3">
        <v>-3</v>
      </c>
      <c r="Y9" s="3">
        <v>-1.76</v>
      </c>
      <c r="Z9" s="3">
        <v>-2.3660000000000001</v>
      </c>
      <c r="AA9" s="66">
        <v>-3</v>
      </c>
      <c r="AB9" s="81">
        <v>-3</v>
      </c>
      <c r="AC9" s="81">
        <v>-2</v>
      </c>
    </row>
    <row r="10" spans="1:29" x14ac:dyDescent="0.3">
      <c r="A10" s="101"/>
      <c r="B10" s="13">
        <v>12</v>
      </c>
      <c r="C10" s="6" t="s">
        <v>12</v>
      </c>
      <c r="D10" s="7">
        <v>7.6298199999999996</v>
      </c>
      <c r="E10" s="7">
        <v>8.6857749999999996</v>
      </c>
      <c r="F10" s="7">
        <v>30.867484999999999</v>
      </c>
      <c r="G10" s="7">
        <v>15.240906000000001</v>
      </c>
      <c r="H10" s="7">
        <v>12.277415</v>
      </c>
      <c r="I10" s="7">
        <v>12.659926</v>
      </c>
      <c r="J10" s="7">
        <v>21.424132</v>
      </c>
      <c r="K10" s="7">
        <v>9.8250709999999994</v>
      </c>
      <c r="L10" s="7">
        <v>12.895685</v>
      </c>
      <c r="M10" s="7">
        <v>3.883435</v>
      </c>
      <c r="N10" s="7">
        <v>-72.756742000000003</v>
      </c>
      <c r="O10" s="7">
        <v>24.815134</v>
      </c>
      <c r="P10" s="7">
        <v>3.1115689999999998</v>
      </c>
      <c r="Q10" s="7">
        <v>13.367452</v>
      </c>
      <c r="R10" s="7">
        <v>9.9016870000000008</v>
      </c>
      <c r="S10" s="7">
        <v>9.0920509999999997</v>
      </c>
      <c r="T10" s="7">
        <v>9.8923400000000008</v>
      </c>
      <c r="U10" s="7">
        <v>8.3771889999999996</v>
      </c>
      <c r="V10" s="7">
        <v>6.0964539999999996</v>
      </c>
      <c r="W10" s="7">
        <v>6.688968</v>
      </c>
      <c r="X10" s="7">
        <v>10.64</v>
      </c>
      <c r="Y10" s="7">
        <v>10.96</v>
      </c>
      <c r="Z10" s="7">
        <v>3.6829999999999998</v>
      </c>
      <c r="AA10" s="67">
        <v>8</v>
      </c>
      <c r="AB10" s="81">
        <v>8</v>
      </c>
      <c r="AC10" s="81">
        <v>8</v>
      </c>
    </row>
    <row r="11" spans="1:29" x14ac:dyDescent="0.3">
      <c r="A11" s="101"/>
      <c r="B11" s="13">
        <v>13</v>
      </c>
      <c r="C11" s="1" t="s">
        <v>13</v>
      </c>
      <c r="D11" s="3">
        <v>1.0554699999999999</v>
      </c>
      <c r="E11" s="3">
        <v>0.83030599999999999</v>
      </c>
      <c r="F11" s="3">
        <v>4.6026629999999997</v>
      </c>
      <c r="G11" s="3">
        <v>4.872719</v>
      </c>
      <c r="H11" s="3">
        <v>1.125756</v>
      </c>
      <c r="I11" s="3">
        <v>1.456194</v>
      </c>
      <c r="J11" s="3">
        <v>2.292373</v>
      </c>
      <c r="K11" s="3">
        <v>2.2350810000000001</v>
      </c>
      <c r="L11" s="3">
        <v>-3.1935690000000001</v>
      </c>
      <c r="M11" s="3">
        <v>6.250089</v>
      </c>
      <c r="N11" s="3">
        <v>0.56035599999999997</v>
      </c>
      <c r="O11" s="3">
        <v>7.5446780000000002</v>
      </c>
      <c r="P11" s="3">
        <v>-2.1387779999999998</v>
      </c>
      <c r="Q11" s="3">
        <v>8.4173980000000004</v>
      </c>
      <c r="R11" s="3">
        <v>5.6547320000000001</v>
      </c>
      <c r="S11" s="3">
        <v>4.2905329999999999</v>
      </c>
      <c r="T11" s="3">
        <v>3.6439629999999998</v>
      </c>
      <c r="U11" s="3">
        <v>3.315963</v>
      </c>
      <c r="V11" s="3">
        <v>1.7634430000000001</v>
      </c>
      <c r="W11" s="3">
        <v>1.621866</v>
      </c>
      <c r="X11" s="3">
        <v>2.56</v>
      </c>
      <c r="Y11" s="3">
        <v>3.37</v>
      </c>
      <c r="Z11" s="3">
        <v>2.0939999999999999</v>
      </c>
      <c r="AA11" s="66">
        <v>3</v>
      </c>
      <c r="AB11" s="81">
        <v>3</v>
      </c>
      <c r="AC11" s="81">
        <v>3</v>
      </c>
    </row>
    <row r="12" spans="1:29" x14ac:dyDescent="0.3">
      <c r="A12" s="101"/>
      <c r="B12" s="13">
        <v>14</v>
      </c>
      <c r="C12" s="6" t="s">
        <v>105</v>
      </c>
      <c r="D12" s="7">
        <v>2.3524699999999998</v>
      </c>
      <c r="E12" s="7">
        <v>4.5342450000000003</v>
      </c>
      <c r="F12" s="7">
        <v>6.165362</v>
      </c>
      <c r="G12" s="7">
        <v>7.3988620000000003</v>
      </c>
      <c r="H12" s="7">
        <v>8.5459999999999994</v>
      </c>
      <c r="I12" s="7">
        <v>9.8309999999999995</v>
      </c>
      <c r="J12" s="7">
        <v>7.4859999999999998</v>
      </c>
      <c r="K12" s="7">
        <v>12.513999999999999</v>
      </c>
      <c r="L12" s="7">
        <v>9.7021160000000002</v>
      </c>
      <c r="M12" s="7">
        <v>10.133524</v>
      </c>
      <c r="N12" s="7">
        <v>-73.272795000000002</v>
      </c>
      <c r="O12" s="7">
        <v>12.270455999999999</v>
      </c>
      <c r="P12" s="7">
        <v>5.2503469999999997</v>
      </c>
      <c r="Q12" s="7">
        <v>4.9500539999999997</v>
      </c>
      <c r="R12" s="7">
        <v>4.2469549999999998</v>
      </c>
      <c r="S12" s="7">
        <v>4.8015179999999997</v>
      </c>
      <c r="T12" s="7">
        <v>6.2483769999999996</v>
      </c>
      <c r="U12" s="7">
        <v>5.0612259999999996</v>
      </c>
      <c r="V12" s="7">
        <v>4.3330109999999999</v>
      </c>
      <c r="W12" s="7">
        <v>5.0671020000000002</v>
      </c>
      <c r="X12" s="7">
        <v>8.08</v>
      </c>
      <c r="Y12" s="7">
        <v>7.59</v>
      </c>
      <c r="Z12" s="7">
        <v>1.589</v>
      </c>
      <c r="AA12" s="67">
        <v>5</v>
      </c>
      <c r="AB12" s="81">
        <v>5</v>
      </c>
      <c r="AC12" s="81">
        <v>5</v>
      </c>
    </row>
    <row r="13" spans="1:29" x14ac:dyDescent="0.3">
      <c r="A13" s="101"/>
      <c r="B13" s="13">
        <v>2</v>
      </c>
      <c r="C13" s="1" t="s">
        <v>15</v>
      </c>
      <c r="D13" s="22">
        <v>0.1</v>
      </c>
      <c r="E13" s="22">
        <v>0.2</v>
      </c>
      <c r="F13" s="22">
        <v>2.5000000000000001E-2</v>
      </c>
      <c r="G13" s="22">
        <v>0.03</v>
      </c>
      <c r="H13" s="22">
        <v>3.5000000000000003E-2</v>
      </c>
      <c r="I13" s="22">
        <v>0.04</v>
      </c>
      <c r="J13" s="22">
        <v>0.05</v>
      </c>
      <c r="K13" s="22">
        <v>0.05</v>
      </c>
      <c r="L13" s="22">
        <v>3.5000000000000003E-2</v>
      </c>
      <c r="M13" s="22">
        <v>3.5000000000000003E-2</v>
      </c>
      <c r="N13" s="22">
        <v>3.5000000000000003E-2</v>
      </c>
      <c r="O13" s="22">
        <v>0</v>
      </c>
      <c r="P13" s="22">
        <v>0.01</v>
      </c>
      <c r="Q13" s="22">
        <v>0.01</v>
      </c>
      <c r="R13" s="22">
        <v>0.01</v>
      </c>
      <c r="S13" s="22">
        <v>0.01</v>
      </c>
      <c r="T13" s="22">
        <v>0.01</v>
      </c>
      <c r="U13" s="22">
        <v>0.02</v>
      </c>
      <c r="V13" s="22">
        <v>1.4999999999999999E-2</v>
      </c>
      <c r="W13" s="22">
        <v>0</v>
      </c>
      <c r="X13" s="22">
        <v>0.01</v>
      </c>
      <c r="Y13" s="22">
        <v>0.01</v>
      </c>
      <c r="Z13" s="22">
        <v>0</v>
      </c>
      <c r="AA13" s="22">
        <v>0</v>
      </c>
      <c r="AB13" s="22">
        <v>0</v>
      </c>
      <c r="AC13" s="22">
        <v>0</v>
      </c>
    </row>
    <row r="14" spans="1:29" x14ac:dyDescent="0.3">
      <c r="A14" s="102" t="s">
        <v>14</v>
      </c>
      <c r="B14" s="14">
        <v>8</v>
      </c>
      <c r="C14" s="6" t="s">
        <v>16</v>
      </c>
      <c r="D14" s="7">
        <v>3.8132199999999998</v>
      </c>
      <c r="E14" s="7">
        <v>3.0684</v>
      </c>
      <c r="F14" s="7">
        <v>159.58130399999999</v>
      </c>
      <c r="G14" s="7">
        <v>31.666910000000001</v>
      </c>
      <c r="H14" s="7">
        <v>34.318753000000001</v>
      </c>
      <c r="I14" s="7">
        <v>15.384157999999999</v>
      </c>
      <c r="J14" s="7">
        <v>31.129563000000001</v>
      </c>
      <c r="K14" s="7">
        <v>80.374109000000004</v>
      </c>
      <c r="L14" s="7">
        <v>63.010437000000003</v>
      </c>
      <c r="M14" s="7">
        <v>84.988874999999993</v>
      </c>
      <c r="N14" s="7">
        <v>35.322431000000002</v>
      </c>
      <c r="O14" s="7">
        <v>43.897575000000003</v>
      </c>
      <c r="P14" s="7">
        <v>3.8696730000000001</v>
      </c>
      <c r="Q14" s="7">
        <v>12.203132999999999</v>
      </c>
      <c r="R14" s="7">
        <v>9.0023</v>
      </c>
      <c r="S14" s="7">
        <v>7.4461550000000001</v>
      </c>
      <c r="T14" s="7">
        <v>7.9265299999999996</v>
      </c>
      <c r="U14" s="7">
        <v>8.1935800000000008</v>
      </c>
      <c r="V14" s="7">
        <v>9.4037389999999998</v>
      </c>
      <c r="W14" s="7">
        <v>3.4494630000000002</v>
      </c>
      <c r="X14" s="7">
        <v>3.1</v>
      </c>
      <c r="Y14" s="7">
        <v>3.1</v>
      </c>
      <c r="Z14" s="7">
        <v>15.3</v>
      </c>
      <c r="AA14" s="7">
        <v>17.2</v>
      </c>
      <c r="AB14" s="1"/>
      <c r="AC14" s="81"/>
    </row>
    <row r="15" spans="1:29" x14ac:dyDescent="0.3">
      <c r="A15" s="103"/>
      <c r="B15" s="14">
        <v>7</v>
      </c>
      <c r="C15" s="1" t="s">
        <v>17</v>
      </c>
      <c r="D15" s="3">
        <v>55.636139999999997</v>
      </c>
      <c r="E15" s="3">
        <v>104.88</v>
      </c>
      <c r="F15" s="3">
        <v>279.48214000000002</v>
      </c>
      <c r="G15" s="3">
        <v>165.06</v>
      </c>
      <c r="H15" s="3">
        <v>157.321</v>
      </c>
      <c r="I15" s="3">
        <v>183.072</v>
      </c>
      <c r="J15" s="3">
        <v>161.19</v>
      </c>
      <c r="K15" s="3">
        <v>131.69999999999999</v>
      </c>
      <c r="L15" s="3">
        <v>102.16836000000001</v>
      </c>
      <c r="M15" s="3">
        <v>235.9</v>
      </c>
      <c r="N15" s="3">
        <v>211.21271999999999</v>
      </c>
      <c r="O15" s="3">
        <v>195.43798000000001</v>
      </c>
      <c r="P15" s="3">
        <v>165.292</v>
      </c>
      <c r="Q15" s="3">
        <v>120.05</v>
      </c>
      <c r="R15" s="3">
        <v>127.678607</v>
      </c>
      <c r="S15" s="3">
        <v>119.15181200000001</v>
      </c>
      <c r="T15" s="3">
        <v>77.5</v>
      </c>
      <c r="U15" s="3">
        <v>67.900000000000006</v>
      </c>
      <c r="V15" s="3">
        <v>67.099999999999994</v>
      </c>
      <c r="W15" s="3">
        <v>54.8</v>
      </c>
      <c r="X15" s="3">
        <v>46.4</v>
      </c>
      <c r="Y15" s="3">
        <v>65.2</v>
      </c>
      <c r="Z15" s="3">
        <v>66.5</v>
      </c>
      <c r="AA15" s="3">
        <v>66.099999999999994</v>
      </c>
      <c r="AB15" s="1"/>
      <c r="AC15" s="81"/>
    </row>
    <row r="16" spans="1:29" x14ac:dyDescent="0.3">
      <c r="A16" s="103"/>
      <c r="B16" s="14">
        <v>9</v>
      </c>
      <c r="C16" s="6" t="s">
        <v>92</v>
      </c>
      <c r="D16" s="7">
        <v>34.554774999999999</v>
      </c>
      <c r="E16" s="7">
        <v>31.947240000000001</v>
      </c>
      <c r="F16" s="7">
        <v>37.891226000000003</v>
      </c>
      <c r="G16" s="7">
        <v>10.960924</v>
      </c>
      <c r="H16" s="7">
        <v>10.756</v>
      </c>
      <c r="I16" s="7">
        <v>12.19</v>
      </c>
      <c r="J16" s="7">
        <v>1.2190259999999999</v>
      </c>
      <c r="K16" s="7">
        <v>0.230909</v>
      </c>
      <c r="L16" s="7">
        <v>2.7065419999999998</v>
      </c>
      <c r="M16" s="7">
        <v>0.870726</v>
      </c>
      <c r="N16" s="7">
        <v>0.76702099999999995</v>
      </c>
      <c r="O16" s="7">
        <v>0.591835</v>
      </c>
      <c r="P16" s="7">
        <v>0.73590900000000004</v>
      </c>
      <c r="Q16" s="7">
        <v>0.78781100000000004</v>
      </c>
      <c r="R16" s="7">
        <v>0.73999499999999996</v>
      </c>
      <c r="S16" s="7">
        <v>0.76793999999999996</v>
      </c>
      <c r="T16" s="7">
        <v>9.0981000000000006E-2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1"/>
      <c r="AC16" s="81"/>
    </row>
    <row r="17" spans="1:29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1"/>
      <c r="AC17" s="81"/>
    </row>
    <row r="18" spans="1:29" x14ac:dyDescent="0.3">
      <c r="A18" s="103"/>
      <c r="B18" s="14">
        <v>15</v>
      </c>
      <c r="C18" s="6" t="s">
        <v>19</v>
      </c>
      <c r="D18" s="7">
        <v>87.683000000000007</v>
      </c>
      <c r="E18" s="7">
        <v>141.35208</v>
      </c>
      <c r="F18" s="7">
        <v>378.45053000000001</v>
      </c>
      <c r="G18" s="7">
        <v>286.89627000000002</v>
      </c>
      <c r="H18" s="7">
        <v>252.36</v>
      </c>
      <c r="I18" s="7">
        <v>282.03636</v>
      </c>
      <c r="J18" s="7">
        <v>258.30362000000002</v>
      </c>
      <c r="K18" s="7">
        <v>180.09263100000001</v>
      </c>
      <c r="L18" s="7">
        <v>156.753062</v>
      </c>
      <c r="M18" s="7">
        <v>308.665344</v>
      </c>
      <c r="N18" s="7">
        <v>256.208101</v>
      </c>
      <c r="O18" s="7">
        <v>243.24762200000001</v>
      </c>
      <c r="P18" s="7">
        <v>211.82041699999999</v>
      </c>
      <c r="Q18" s="7">
        <v>162.209363</v>
      </c>
      <c r="R18" s="7">
        <v>127.678607</v>
      </c>
      <c r="S18" s="7">
        <v>119.15181200000001</v>
      </c>
      <c r="T18" s="7">
        <v>114.22949699999999</v>
      </c>
      <c r="U18" s="7">
        <v>106.681309</v>
      </c>
      <c r="V18" s="7">
        <v>95.708259999999996</v>
      </c>
      <c r="W18" s="7">
        <v>82.5</v>
      </c>
      <c r="X18" s="7">
        <v>74.400000000000006</v>
      </c>
      <c r="Y18" s="7">
        <v>89.2</v>
      </c>
      <c r="Z18" s="7">
        <v>87.3</v>
      </c>
      <c r="AA18" s="7">
        <v>89.3</v>
      </c>
      <c r="AB18" s="1"/>
      <c r="AC18" s="81"/>
    </row>
    <row r="19" spans="1:29" x14ac:dyDescent="0.3">
      <c r="A19" s="103"/>
      <c r="B19" s="14">
        <v>18</v>
      </c>
      <c r="C19" s="1" t="s">
        <v>21</v>
      </c>
      <c r="D19" s="3">
        <v>38.478009999999998</v>
      </c>
      <c r="E19" s="3">
        <v>71.804585000000003</v>
      </c>
      <c r="F19" s="3">
        <v>134.95128299999999</v>
      </c>
      <c r="G19" s="3">
        <v>96.426463999999996</v>
      </c>
      <c r="H19" s="3">
        <v>107.184175</v>
      </c>
      <c r="I19" s="3">
        <v>146.474581</v>
      </c>
      <c r="J19" s="3">
        <v>165.97961000000001</v>
      </c>
      <c r="K19" s="3">
        <v>74.137664000000001</v>
      </c>
      <c r="L19" s="3">
        <v>88.341651999999996</v>
      </c>
      <c r="M19" s="3">
        <v>199.38580899999999</v>
      </c>
      <c r="N19" s="3">
        <v>149.38358199999999</v>
      </c>
      <c r="O19" s="3">
        <v>188.28984500000001</v>
      </c>
      <c r="P19" s="3">
        <v>186.12934999999999</v>
      </c>
      <c r="Q19" s="3">
        <v>154.632093</v>
      </c>
      <c r="R19" s="3">
        <v>107.330642</v>
      </c>
      <c r="S19" s="3">
        <v>52.112071</v>
      </c>
      <c r="T19" s="3">
        <v>54.589261</v>
      </c>
      <c r="U19" s="3">
        <v>44.660107000000004</v>
      </c>
      <c r="V19" s="3">
        <v>54.725467000000002</v>
      </c>
      <c r="W19" s="3">
        <v>59.934064999999997</v>
      </c>
      <c r="X19" s="3">
        <v>69.8</v>
      </c>
      <c r="Y19" s="3">
        <v>77.599999999999994</v>
      </c>
      <c r="Z19" s="3">
        <v>77</v>
      </c>
      <c r="AA19" s="3">
        <v>79.3</v>
      </c>
      <c r="AB19" s="1"/>
      <c r="AC19" s="81"/>
    </row>
    <row r="20" spans="1:29" x14ac:dyDescent="0.3">
      <c r="A20" s="103"/>
      <c r="B20" s="14">
        <v>17</v>
      </c>
      <c r="C20" s="6" t="s">
        <v>22</v>
      </c>
      <c r="D20" s="7">
        <v>69.153715000000005</v>
      </c>
      <c r="E20" s="7">
        <v>88.773970000000006</v>
      </c>
      <c r="F20" s="7">
        <v>247.20752999999999</v>
      </c>
      <c r="G20" s="7">
        <v>157.01926</v>
      </c>
      <c r="H20" s="7">
        <v>149.82</v>
      </c>
      <c r="I20" s="7">
        <v>156.06800000000001</v>
      </c>
      <c r="J20" s="7">
        <v>136.994609</v>
      </c>
      <c r="K20" s="7">
        <v>107.61706</v>
      </c>
      <c r="L20" s="7">
        <v>113.824614</v>
      </c>
      <c r="M20" s="7">
        <v>256.92830300000003</v>
      </c>
      <c r="N20" s="7">
        <v>127.616687</v>
      </c>
      <c r="O20" s="7">
        <v>136.58548300000001</v>
      </c>
      <c r="P20" s="7">
        <v>101.30116099999999</v>
      </c>
      <c r="Q20" s="7">
        <v>59.347530999999996</v>
      </c>
      <c r="R20" s="7">
        <v>31.329612000000001</v>
      </c>
      <c r="S20" s="7">
        <v>29.572075999999999</v>
      </c>
      <c r="T20" s="7">
        <v>31.993272999999999</v>
      </c>
      <c r="U20" s="7">
        <v>29.115646999999999</v>
      </c>
      <c r="V20" s="7">
        <v>29.776349</v>
      </c>
      <c r="W20" s="7">
        <v>22.5</v>
      </c>
      <c r="X20" s="7">
        <v>21.3</v>
      </c>
      <c r="Y20" s="7">
        <v>20.9</v>
      </c>
      <c r="Z20" s="7">
        <v>25.8</v>
      </c>
      <c r="AA20" s="7">
        <v>30</v>
      </c>
      <c r="AB20" s="1"/>
      <c r="AC20" s="81"/>
    </row>
    <row r="21" spans="1:29" x14ac:dyDescent="0.3">
      <c r="A21" s="103"/>
      <c r="B21" s="14">
        <v>19</v>
      </c>
      <c r="C21" s="1" t="s">
        <v>88</v>
      </c>
      <c r="D21" s="3">
        <v>29.097124999999998</v>
      </c>
      <c r="E21" s="3">
        <v>36.145144999999999</v>
      </c>
      <c r="F21" s="3">
        <v>24.223541000000001</v>
      </c>
      <c r="G21" s="3">
        <v>29.661749</v>
      </c>
      <c r="H21" s="3">
        <v>23.941032</v>
      </c>
      <c r="I21" s="3">
        <v>27.813699</v>
      </c>
      <c r="J21" s="3">
        <v>27.251830000000002</v>
      </c>
      <c r="K21" s="3">
        <v>2.2684199999999999</v>
      </c>
      <c r="L21" s="3">
        <v>2.8482419999999999</v>
      </c>
      <c r="M21" s="3">
        <v>2.7112810000000001</v>
      </c>
      <c r="N21" s="3">
        <v>1.9387300000000001</v>
      </c>
      <c r="O21" s="3">
        <v>3.1296580000000001</v>
      </c>
      <c r="P21" s="3">
        <v>3.9837020000000001</v>
      </c>
      <c r="Q21" s="3">
        <v>4.0933520000000003</v>
      </c>
      <c r="R21" s="3">
        <v>2.0766870000000002</v>
      </c>
      <c r="S21" s="3">
        <v>2.2511260000000002</v>
      </c>
      <c r="T21" s="3">
        <v>1.8728910000000001</v>
      </c>
      <c r="U21" s="3">
        <v>1.99129</v>
      </c>
      <c r="V21" s="3">
        <v>1.8089280000000001</v>
      </c>
      <c r="W21" s="3">
        <v>1.3</v>
      </c>
      <c r="X21" s="3">
        <v>1.3</v>
      </c>
      <c r="Y21" s="3">
        <v>1.5</v>
      </c>
      <c r="Z21" s="3">
        <v>1</v>
      </c>
      <c r="AA21" s="3">
        <v>1.1000000000000001</v>
      </c>
      <c r="AB21" s="1"/>
      <c r="AC21" s="81"/>
    </row>
    <row r="22" spans="1:29" x14ac:dyDescent="0.3">
      <c r="A22" s="103"/>
      <c r="B22" s="14">
        <v>20</v>
      </c>
      <c r="C22" s="6" t="s">
        <v>87</v>
      </c>
      <c r="D22" s="7">
        <v>36.243369999999999</v>
      </c>
      <c r="E22" s="7">
        <v>47.1</v>
      </c>
      <c r="F22" s="7">
        <v>66.566305</v>
      </c>
      <c r="G22" s="7">
        <v>91.299858</v>
      </c>
      <c r="H22" s="7">
        <v>85.752988000000002</v>
      </c>
      <c r="I22" s="7">
        <v>91.452332999999996</v>
      </c>
      <c r="J22" s="7">
        <v>50.700761</v>
      </c>
      <c r="K22" s="7">
        <v>12.821645</v>
      </c>
      <c r="L22" s="7">
        <v>14.771933000000001</v>
      </c>
      <c r="M22" s="7">
        <v>14.536263999999999</v>
      </c>
      <c r="N22" s="7">
        <v>11.572793000000001</v>
      </c>
      <c r="O22" s="7">
        <v>11.384331</v>
      </c>
      <c r="P22" s="7">
        <v>12.595832</v>
      </c>
      <c r="Q22" s="7">
        <v>9.1847829999999995</v>
      </c>
      <c r="R22" s="7">
        <v>7.1044619999999998</v>
      </c>
      <c r="S22" s="7">
        <v>9.4101339999999993</v>
      </c>
      <c r="T22" s="7">
        <v>9.0881609999999995</v>
      </c>
      <c r="U22" s="7">
        <v>9.7123190000000008</v>
      </c>
      <c r="V22" s="7">
        <v>10.22315</v>
      </c>
      <c r="W22" s="7">
        <v>13.1</v>
      </c>
      <c r="X22" s="7">
        <v>10</v>
      </c>
      <c r="Y22" s="7">
        <v>10.7</v>
      </c>
      <c r="Z22" s="7">
        <v>8.4</v>
      </c>
      <c r="AA22" s="7">
        <v>9.1999999999999993</v>
      </c>
      <c r="AB22" s="1"/>
      <c r="AC22" s="81"/>
    </row>
    <row r="23" spans="1:29" x14ac:dyDescent="0.3">
      <c r="A23" s="103"/>
      <c r="B23" s="14">
        <v>16</v>
      </c>
      <c r="C23" s="1" t="s">
        <v>20</v>
      </c>
      <c r="D23" s="3">
        <v>28.259485000000002</v>
      </c>
      <c r="E23" s="3">
        <v>28.51144</v>
      </c>
      <c r="F23" s="3">
        <v>55.442923</v>
      </c>
      <c r="G23" s="3">
        <v>61.039681999999999</v>
      </c>
      <c r="H23" s="3">
        <v>67.453999999999994</v>
      </c>
      <c r="I23" s="3">
        <v>77.697000000000003</v>
      </c>
      <c r="J23" s="3">
        <v>104.223105</v>
      </c>
      <c r="K23" s="3">
        <v>50.165230999999999</v>
      </c>
      <c r="L23" s="3">
        <v>59.762962000000002</v>
      </c>
      <c r="M23" s="3">
        <v>64.474981</v>
      </c>
      <c r="N23" s="3">
        <v>-12.490876</v>
      </c>
      <c r="O23" s="3">
        <v>4.2460490000000002</v>
      </c>
      <c r="P23" s="3">
        <v>7.9221180000000002</v>
      </c>
      <c r="Q23" s="3">
        <v>11.89555</v>
      </c>
      <c r="R23" s="3">
        <v>14.738360999999999</v>
      </c>
      <c r="S23" s="3">
        <v>18.038741000000002</v>
      </c>
      <c r="T23" s="3">
        <v>20.276658999999999</v>
      </c>
      <c r="U23" s="3">
        <v>22.565733999999999</v>
      </c>
      <c r="V23" s="3">
        <v>26.000655999999999</v>
      </c>
      <c r="W23" s="3">
        <v>30.9</v>
      </c>
      <c r="X23" s="3">
        <v>38</v>
      </c>
      <c r="Y23" s="3">
        <v>43.8</v>
      </c>
      <c r="Z23" s="3">
        <v>45.4</v>
      </c>
      <c r="AA23" s="3">
        <v>47.3</v>
      </c>
      <c r="AB23" s="1"/>
      <c r="AC23" s="81"/>
    </row>
    <row r="25" spans="1:29" x14ac:dyDescent="0.3">
      <c r="A25" s="9" t="s">
        <v>71</v>
      </c>
      <c r="B25" s="8"/>
      <c r="C25" s="9" t="s">
        <v>26</v>
      </c>
      <c r="D25" s="8">
        <v>98</v>
      </c>
      <c r="E25" s="8">
        <v>99</v>
      </c>
      <c r="F25" s="8">
        <v>2000</v>
      </c>
      <c r="G25" s="8">
        <v>1</v>
      </c>
      <c r="H25" s="8">
        <v>2</v>
      </c>
      <c r="I25" s="8">
        <v>3</v>
      </c>
      <c r="J25" s="8">
        <v>4</v>
      </c>
      <c r="K25" s="8">
        <v>5</v>
      </c>
      <c r="L25" s="8">
        <v>6</v>
      </c>
      <c r="M25" s="8">
        <v>7</v>
      </c>
      <c r="N25" s="8">
        <v>8</v>
      </c>
      <c r="O25" s="8">
        <v>9</v>
      </c>
      <c r="P25" s="8">
        <v>10</v>
      </c>
      <c r="Q25" s="8">
        <v>11</v>
      </c>
      <c r="R25" s="8">
        <v>12</v>
      </c>
      <c r="S25" s="8">
        <v>13</v>
      </c>
      <c r="T25" s="8">
        <v>14</v>
      </c>
      <c r="U25" s="8">
        <v>15</v>
      </c>
      <c r="V25" s="8">
        <v>16</v>
      </c>
      <c r="W25" s="8">
        <v>17</v>
      </c>
      <c r="X25" s="8">
        <v>18</v>
      </c>
      <c r="Y25" s="8">
        <v>19</v>
      </c>
      <c r="Z25" s="8">
        <v>20</v>
      </c>
      <c r="AA25" s="8" t="s">
        <v>3</v>
      </c>
      <c r="AB25" s="8" t="s">
        <v>94</v>
      </c>
      <c r="AC25" s="8" t="s">
        <v>116</v>
      </c>
    </row>
    <row r="26" spans="1:29" x14ac:dyDescent="0.3">
      <c r="A26" s="6" t="s">
        <v>65</v>
      </c>
      <c r="B26" s="17" t="s">
        <v>27</v>
      </c>
      <c r="C26" s="6" t="s">
        <v>85</v>
      </c>
      <c r="D26" s="7">
        <f t="shared" ref="D26:T26" si="0">D4*D5</f>
        <v>53.271626400000009</v>
      </c>
      <c r="E26" s="7">
        <f t="shared" si="0"/>
        <v>83.743196220000002</v>
      </c>
      <c r="F26" s="7">
        <f t="shared" si="0"/>
        <v>139.11498532000002</v>
      </c>
      <c r="G26" s="7">
        <f t="shared" si="0"/>
        <v>109.00000000000001</v>
      </c>
      <c r="H26" s="7">
        <f t="shared" si="0"/>
        <v>116.5</v>
      </c>
      <c r="I26" s="7">
        <f t="shared" si="0"/>
        <v>126.47500000000001</v>
      </c>
      <c r="J26" s="7">
        <f t="shared" si="0"/>
        <v>182</v>
      </c>
      <c r="K26" s="7">
        <f t="shared" si="0"/>
        <v>154.87441236000001</v>
      </c>
      <c r="L26" s="7">
        <f t="shared" si="0"/>
        <v>186.66982152000003</v>
      </c>
      <c r="M26" s="7">
        <f t="shared" si="0"/>
        <v>156.92572908</v>
      </c>
      <c r="N26" s="7">
        <f t="shared" si="0"/>
        <v>46.154626200000003</v>
      </c>
      <c r="O26" s="7">
        <f t="shared" si="0"/>
        <v>108.71978616000001</v>
      </c>
      <c r="P26" s="7">
        <f t="shared" si="0"/>
        <v>70.770426839999999</v>
      </c>
      <c r="Q26" s="7">
        <f t="shared" si="0"/>
        <v>77.950035360000001</v>
      </c>
      <c r="R26" s="7">
        <f t="shared" si="0"/>
        <v>60.51384324</v>
      </c>
      <c r="S26" s="7">
        <f t="shared" si="0"/>
        <v>51.282918000000002</v>
      </c>
      <c r="T26" s="7">
        <f t="shared" si="0"/>
        <v>48.411074591999999</v>
      </c>
      <c r="U26" s="7">
        <f t="shared" ref="U26:W26" si="1">U4*U5</f>
        <v>45.641797020000006</v>
      </c>
      <c r="V26" s="7">
        <f t="shared" si="1"/>
        <v>26.667117360000002</v>
      </c>
      <c r="W26" s="7">
        <f t="shared" si="1"/>
        <v>46.052060364000006</v>
      </c>
      <c r="X26" s="7">
        <f t="shared" ref="X26:AB26" si="2">X4*X5</f>
        <v>56.821473144000009</v>
      </c>
      <c r="Y26" s="7">
        <f t="shared" si="2"/>
        <v>42.0465465455</v>
      </c>
      <c r="Z26" s="7">
        <f t="shared" si="2"/>
        <v>24.61580064</v>
      </c>
      <c r="AA26" s="7">
        <f t="shared" si="2"/>
        <v>24.000405624000003</v>
      </c>
      <c r="AB26" s="7">
        <f t="shared" si="2"/>
        <v>26.677</v>
      </c>
      <c r="AC26" s="1"/>
    </row>
    <row r="27" spans="1:29" x14ac:dyDescent="0.3">
      <c r="A27" s="1" t="s">
        <v>66</v>
      </c>
      <c r="B27" s="2" t="s">
        <v>28</v>
      </c>
      <c r="C27" s="1" t="s">
        <v>47</v>
      </c>
      <c r="D27" s="30">
        <f t="shared" ref="D27:T27" si="3">D26/D6</f>
        <v>0.56083433852125242</v>
      </c>
      <c r="E27" s="30">
        <f t="shared" si="3"/>
        <v>0.75760247978235729</v>
      </c>
      <c r="F27" s="30">
        <f t="shared" si="3"/>
        <v>0.85661904597437322</v>
      </c>
      <c r="G27" s="30">
        <f t="shared" si="3"/>
        <v>0.51572151244616515</v>
      </c>
      <c r="H27" s="30">
        <f t="shared" si="3"/>
        <v>0.53790001985382052</v>
      </c>
      <c r="I27" s="30">
        <f t="shared" si="3"/>
        <v>0.57942696402719496</v>
      </c>
      <c r="J27" s="30">
        <f t="shared" si="3"/>
        <v>0.66090399297893365</v>
      </c>
      <c r="K27" s="30">
        <f t="shared" si="3"/>
        <v>1.1933905014308797</v>
      </c>
      <c r="L27" s="30">
        <f t="shared" si="3"/>
        <v>1.4217046574257426</v>
      </c>
      <c r="M27" s="30">
        <f t="shared" si="3"/>
        <v>1.1655621915768166</v>
      </c>
      <c r="N27" s="30">
        <f t="shared" si="3"/>
        <v>0.32044480223282168</v>
      </c>
      <c r="O27" s="30">
        <f t="shared" si="3"/>
        <v>0.81102193933540989</v>
      </c>
      <c r="P27" s="30">
        <f t="shared" si="3"/>
        <v>0.51917214689409363</v>
      </c>
      <c r="Q27" s="30">
        <f t="shared" si="3"/>
        <v>0.6153438453012855</v>
      </c>
      <c r="R27" s="30">
        <f t="shared" si="3"/>
        <v>0.53397410191542549</v>
      </c>
      <c r="S27" s="30">
        <f t="shared" si="3"/>
        <v>0.4763455415321719</v>
      </c>
      <c r="T27" s="30">
        <f t="shared" si="3"/>
        <v>0.4563747098417788</v>
      </c>
      <c r="U27" s="30">
        <f t="shared" ref="U27:W27" si="4">U26/U6</f>
        <v>0.45335483293578616</v>
      </c>
      <c r="V27" s="30">
        <f t="shared" si="4"/>
        <v>0.26686982081982547</v>
      </c>
      <c r="W27" s="30">
        <f t="shared" si="4"/>
        <v>0.50574467702558212</v>
      </c>
      <c r="X27" s="30">
        <f t="shared" ref="X27:AB27" si="5">X26/X6</f>
        <v>0.6241374466608085</v>
      </c>
      <c r="Y27" s="30">
        <f t="shared" si="5"/>
        <v>0.46573489749113867</v>
      </c>
      <c r="Z27" s="30">
        <f t="shared" si="5"/>
        <v>0.34456607838745801</v>
      </c>
      <c r="AA27" s="30">
        <f t="shared" si="5"/>
        <v>0.32432980572972975</v>
      </c>
      <c r="AB27" s="30">
        <f t="shared" si="5"/>
        <v>0.35569333333333331</v>
      </c>
      <c r="AC27" s="1"/>
    </row>
    <row r="28" spans="1:29" x14ac:dyDescent="0.3">
      <c r="A28" s="6" t="s">
        <v>67</v>
      </c>
      <c r="B28" s="17" t="s">
        <v>29</v>
      </c>
      <c r="C28" s="6" t="s">
        <v>48</v>
      </c>
      <c r="D28" s="29">
        <f t="shared" ref="D28:T28" si="6">D26/D7</f>
        <v>2.6798621525422326</v>
      </c>
      <c r="E28" s="29">
        <f t="shared" si="6"/>
        <v>3.5748466680255748</v>
      </c>
      <c r="F28" s="29">
        <f t="shared" si="6"/>
        <v>5.4323639405801671</v>
      </c>
      <c r="G28" s="29">
        <f t="shared" si="6"/>
        <v>3.3208263093286954</v>
      </c>
      <c r="H28" s="29">
        <f t="shared" si="6"/>
        <v>2.9356919665356318</v>
      </c>
      <c r="I28" s="29">
        <f t="shared" si="6"/>
        <v>3.3305682835624379</v>
      </c>
      <c r="J28" s="29">
        <f t="shared" si="6"/>
        <v>4.6559222307495522</v>
      </c>
      <c r="K28" s="29">
        <f t="shared" si="6"/>
        <v>9.5424776561922364</v>
      </c>
      <c r="L28" s="29">
        <f t="shared" si="6"/>
        <v>10.498865102362206</v>
      </c>
      <c r="M28" s="29">
        <f t="shared" si="6"/>
        <v>7.636288519708029</v>
      </c>
      <c r="N28" s="29">
        <f t="shared" si="6"/>
        <v>2.1248067011021186</v>
      </c>
      <c r="O28" s="29">
        <f t="shared" si="6"/>
        <v>4.6819310678174233</v>
      </c>
      <c r="P28" s="29">
        <f t="shared" si="6"/>
        <v>2.7753108564705884</v>
      </c>
      <c r="Q28" s="29">
        <f t="shared" si="6"/>
        <v>3.3606898693418699</v>
      </c>
      <c r="R28" s="29">
        <f t="shared" si="6"/>
        <v>3.571354611809674</v>
      </c>
      <c r="S28" s="29">
        <f t="shared" si="6"/>
        <v>2.9016135685943327</v>
      </c>
      <c r="T28" s="29">
        <f t="shared" si="6"/>
        <v>2.613774669657206</v>
      </c>
      <c r="U28" s="29">
        <f t="shared" ref="U28:W28" si="7">U26/U7</f>
        <v>3.4788729307085196</v>
      </c>
      <c r="V28" s="29">
        <f t="shared" si="7"/>
        <v>1.83304013389582</v>
      </c>
      <c r="W28" s="29">
        <f t="shared" si="7"/>
        <v>4.2069458331312175</v>
      </c>
      <c r="X28" s="29">
        <f t="shared" ref="X28:AB28" si="8">X26/X7</f>
        <v>3.6730105458306403</v>
      </c>
      <c r="Y28" s="29">
        <f t="shared" si="8"/>
        <v>2.8031031030333335</v>
      </c>
      <c r="Z28" s="29">
        <f t="shared" si="8"/>
        <v>2.451772972111554</v>
      </c>
      <c r="AA28" s="29">
        <f t="shared" si="8"/>
        <v>1.7143146874285715</v>
      </c>
      <c r="AB28" s="29">
        <f t="shared" si="8"/>
        <v>1.7784666666666666</v>
      </c>
      <c r="AC28" s="1"/>
    </row>
    <row r="29" spans="1:29" x14ac:dyDescent="0.3">
      <c r="A29" s="15" t="s">
        <v>68</v>
      </c>
      <c r="B29" s="2" t="s">
        <v>30</v>
      </c>
      <c r="C29" s="1" t="s">
        <v>49</v>
      </c>
      <c r="D29" s="3">
        <f t="shared" ref="D29:T29" si="9">D15-D14</f>
        <v>51.822919999999996</v>
      </c>
      <c r="E29" s="3">
        <f t="shared" si="9"/>
        <v>101.8116</v>
      </c>
      <c r="F29" s="3">
        <f t="shared" si="9"/>
        <v>119.90083600000003</v>
      </c>
      <c r="G29" s="3">
        <f t="shared" si="9"/>
        <v>133.39309</v>
      </c>
      <c r="H29" s="3">
        <f t="shared" si="9"/>
        <v>123.002247</v>
      </c>
      <c r="I29" s="3">
        <f t="shared" si="9"/>
        <v>167.68784199999999</v>
      </c>
      <c r="J29" s="3">
        <f t="shared" si="9"/>
        <v>130.06043700000001</v>
      </c>
      <c r="K29" s="3">
        <f t="shared" si="9"/>
        <v>51.325890999999984</v>
      </c>
      <c r="L29" s="3">
        <f t="shared" si="9"/>
        <v>39.157923000000004</v>
      </c>
      <c r="M29" s="3">
        <f t="shared" si="9"/>
        <v>150.91112500000003</v>
      </c>
      <c r="N29" s="3">
        <f t="shared" si="9"/>
        <v>175.890289</v>
      </c>
      <c r="O29" s="3">
        <f t="shared" si="9"/>
        <v>151.54040500000002</v>
      </c>
      <c r="P29" s="3">
        <f t="shared" si="9"/>
        <v>161.422327</v>
      </c>
      <c r="Q29" s="3">
        <f t="shared" si="9"/>
        <v>107.846867</v>
      </c>
      <c r="R29" s="3">
        <f t="shared" si="9"/>
        <v>118.67630699999999</v>
      </c>
      <c r="S29" s="3">
        <f t="shared" si="9"/>
        <v>111.705657</v>
      </c>
      <c r="T29" s="3">
        <f t="shared" si="9"/>
        <v>69.57347</v>
      </c>
      <c r="U29" s="3">
        <f t="shared" ref="U29:AA29" si="10">U15-U14</f>
        <v>59.706420000000008</v>
      </c>
      <c r="V29" s="3">
        <f t="shared" si="10"/>
        <v>57.696260999999993</v>
      </c>
      <c r="W29" s="3">
        <f t="shared" si="10"/>
        <v>51.350536999999996</v>
      </c>
      <c r="X29" s="3">
        <f t="shared" si="10"/>
        <v>43.3</v>
      </c>
      <c r="Y29" s="3">
        <f t="shared" si="10"/>
        <v>62.1</v>
      </c>
      <c r="Z29" s="3">
        <f t="shared" si="10"/>
        <v>51.2</v>
      </c>
      <c r="AA29" s="3">
        <f t="shared" si="10"/>
        <v>48.899999999999991</v>
      </c>
      <c r="AB29" s="1"/>
      <c r="AC29" s="1"/>
    </row>
    <row r="30" spans="1:29" x14ac:dyDescent="0.3">
      <c r="A30" s="6" t="s">
        <v>69</v>
      </c>
      <c r="B30" s="17" t="s">
        <v>31</v>
      </c>
      <c r="C30" s="6" t="s">
        <v>50</v>
      </c>
      <c r="D30" s="7">
        <f t="shared" ref="D30:T30" si="11">D26+D29+D16+D17</f>
        <v>139.64932140000002</v>
      </c>
      <c r="E30" s="7">
        <f t="shared" si="11"/>
        <v>217.50203622000001</v>
      </c>
      <c r="F30" s="7">
        <f t="shared" si="11"/>
        <v>296.90704732000006</v>
      </c>
      <c r="G30" s="7">
        <f t="shared" si="11"/>
        <v>253.35401400000003</v>
      </c>
      <c r="H30" s="7">
        <f t="shared" si="11"/>
        <v>250.25824700000001</v>
      </c>
      <c r="I30" s="7">
        <f t="shared" si="11"/>
        <v>306.35284200000001</v>
      </c>
      <c r="J30" s="7">
        <f t="shared" si="11"/>
        <v>313.27946299999996</v>
      </c>
      <c r="K30" s="7">
        <f t="shared" si="11"/>
        <v>206.43121235999999</v>
      </c>
      <c r="L30" s="7">
        <f t="shared" si="11"/>
        <v>228.53428652000005</v>
      </c>
      <c r="M30" s="7">
        <f t="shared" si="11"/>
        <v>308.70758008000001</v>
      </c>
      <c r="N30" s="7">
        <f t="shared" si="11"/>
        <v>222.81193619999999</v>
      </c>
      <c r="O30" s="7">
        <f t="shared" si="11"/>
        <v>260.85202616000004</v>
      </c>
      <c r="P30" s="7">
        <f t="shared" si="11"/>
        <v>232.92866283999999</v>
      </c>
      <c r="Q30" s="7">
        <f t="shared" si="11"/>
        <v>186.58471335999999</v>
      </c>
      <c r="R30" s="7">
        <f t="shared" si="11"/>
        <v>179.93014523999997</v>
      </c>
      <c r="S30" s="7">
        <f t="shared" si="11"/>
        <v>163.75651500000001</v>
      </c>
      <c r="T30" s="7">
        <f t="shared" si="11"/>
        <v>118.07552559199999</v>
      </c>
      <c r="U30" s="7">
        <f t="shared" ref="U30:AA30" si="12">U26+U29+U16+U17</f>
        <v>105.34821702000002</v>
      </c>
      <c r="V30" s="7">
        <f t="shared" si="12"/>
        <v>84.363378359999999</v>
      </c>
      <c r="W30" s="7">
        <f t="shared" si="12"/>
        <v>97.402597364000002</v>
      </c>
      <c r="X30" s="7">
        <f t="shared" si="12"/>
        <v>100.12147314400001</v>
      </c>
      <c r="Y30" s="7">
        <f t="shared" si="12"/>
        <v>104.1465465455</v>
      </c>
      <c r="Z30" s="7">
        <f t="shared" si="12"/>
        <v>75.815800640000006</v>
      </c>
      <c r="AA30" s="7">
        <f t="shared" si="12"/>
        <v>72.900405624000001</v>
      </c>
      <c r="AB30" s="1"/>
      <c r="AC30" s="1"/>
    </row>
    <row r="31" spans="1:29" x14ac:dyDescent="0.3">
      <c r="A31" s="1" t="s">
        <v>70</v>
      </c>
      <c r="B31" s="2" t="s">
        <v>32</v>
      </c>
      <c r="C31" s="1" t="s">
        <v>51</v>
      </c>
      <c r="D31" s="30">
        <f t="shared" ref="D31:T31" si="13">D30/D7</f>
        <v>7.0251455857196436</v>
      </c>
      <c r="E31" s="30">
        <f t="shared" si="13"/>
        <v>9.2847713553611584</v>
      </c>
      <c r="F31" s="30">
        <f t="shared" si="13"/>
        <v>11.594057490321399</v>
      </c>
      <c r="G31" s="30">
        <f t="shared" si="13"/>
        <v>7.718758488671841</v>
      </c>
      <c r="H31" s="30">
        <f t="shared" si="13"/>
        <v>6.3062757534522733</v>
      </c>
      <c r="I31" s="30">
        <f t="shared" si="13"/>
        <v>8.0674367198609591</v>
      </c>
      <c r="J31" s="30">
        <f t="shared" si="13"/>
        <v>8.0143121770273709</v>
      </c>
      <c r="K31" s="30">
        <f t="shared" si="13"/>
        <v>12.719113515711644</v>
      </c>
      <c r="L31" s="30">
        <f t="shared" si="13"/>
        <v>12.853446935883017</v>
      </c>
      <c r="M31" s="30">
        <f t="shared" si="13"/>
        <v>15.022266670559612</v>
      </c>
      <c r="N31" s="30">
        <f t="shared" si="13"/>
        <v>10.25752636521835</v>
      </c>
      <c r="O31" s="30">
        <f t="shared" si="13"/>
        <v>11.233384911043567</v>
      </c>
      <c r="P31" s="30">
        <f t="shared" si="13"/>
        <v>9.1344573662745088</v>
      </c>
      <c r="Q31" s="30">
        <f t="shared" si="13"/>
        <v>8.044298544151534</v>
      </c>
      <c r="R31" s="30">
        <f t="shared" si="13"/>
        <v>10.618964514580686</v>
      </c>
      <c r="S31" s="30">
        <f t="shared" si="13"/>
        <v>9.2654268594802147</v>
      </c>
      <c r="T31" s="30">
        <f t="shared" si="13"/>
        <v>6.3750458030491881</v>
      </c>
      <c r="U31" s="30">
        <f t="shared" ref="U31:AA31" si="14">U30/U7</f>
        <v>8.0297684231996644</v>
      </c>
      <c r="V31" s="30">
        <f t="shared" si="14"/>
        <v>5.7989566805175716</v>
      </c>
      <c r="W31" s="30">
        <f t="shared" si="14"/>
        <v>8.8979178755042732</v>
      </c>
      <c r="X31" s="30">
        <f t="shared" si="14"/>
        <v>6.4719762859728505</v>
      </c>
      <c r="Y31" s="30">
        <f t="shared" si="14"/>
        <v>6.9431031030333337</v>
      </c>
      <c r="Z31" s="30">
        <f t="shared" si="14"/>
        <v>7.5513745657370528</v>
      </c>
      <c r="AA31" s="30">
        <f t="shared" si="14"/>
        <v>5.2071718302857146</v>
      </c>
      <c r="AB31" s="1"/>
      <c r="AC31" s="1"/>
    </row>
    <row r="32" spans="1:29" x14ac:dyDescent="0.3">
      <c r="A32" s="18" t="s">
        <v>72</v>
      </c>
      <c r="B32" s="17" t="s">
        <v>33</v>
      </c>
      <c r="C32" s="6" t="s">
        <v>109</v>
      </c>
      <c r="D32" s="27">
        <f t="shared" ref="D32:T32" si="15">D7/D6</f>
        <v>0.20927730853216492</v>
      </c>
      <c r="E32" s="27">
        <f t="shared" si="15"/>
        <v>0.2119258670752413</v>
      </c>
      <c r="F32" s="27">
        <f t="shared" si="15"/>
        <v>0.15768808116395969</v>
      </c>
      <c r="G32" s="27">
        <f t="shared" si="15"/>
        <v>0.15529915280345338</v>
      </c>
      <c r="H32" s="27">
        <f t="shared" si="15"/>
        <v>0.18322767714917607</v>
      </c>
      <c r="I32" s="27">
        <f t="shared" si="15"/>
        <v>0.17397240191317412</v>
      </c>
      <c r="J32" s="27">
        <f t="shared" si="15"/>
        <v>0.14194910486564022</v>
      </c>
      <c r="K32" s="27">
        <f t="shared" si="15"/>
        <v>0.12506086410969725</v>
      </c>
      <c r="L32" s="27">
        <f t="shared" si="15"/>
        <v>0.13541507996953542</v>
      </c>
      <c r="M32" s="27">
        <f t="shared" si="15"/>
        <v>0.15263464555702533</v>
      </c>
      <c r="N32" s="27">
        <f t="shared" si="15"/>
        <v>0.15081127241673786</v>
      </c>
      <c r="O32" s="27">
        <f t="shared" si="15"/>
        <v>0.17322381034402631</v>
      </c>
      <c r="P32" s="27">
        <f t="shared" si="15"/>
        <v>0.18706810650909714</v>
      </c>
      <c r="Q32" s="27">
        <f t="shared" si="15"/>
        <v>0.18310045533055672</v>
      </c>
      <c r="R32" s="27">
        <f t="shared" si="15"/>
        <v>0.14951584481409161</v>
      </c>
      <c r="S32" s="27">
        <f t="shared" si="15"/>
        <v>0.16416574098215783</v>
      </c>
      <c r="T32" s="27">
        <f t="shared" si="15"/>
        <v>0.17460369294252587</v>
      </c>
      <c r="U32" s="27">
        <f t="shared" ref="U32:W32" si="16">U7/U6</f>
        <v>0.13031658297546794</v>
      </c>
      <c r="V32" s="27">
        <f t="shared" si="16"/>
        <v>0.14558864036033861</v>
      </c>
      <c r="W32" s="27">
        <f t="shared" si="16"/>
        <v>0.12021658872873052</v>
      </c>
      <c r="X32" s="27">
        <f t="shared" ref="X32:AB32" si="17">X7/X6</f>
        <v>0.16992530755711774</v>
      </c>
      <c r="Y32" s="27">
        <f t="shared" si="17"/>
        <v>0.16614975631369075</v>
      </c>
      <c r="Z32" s="27">
        <f t="shared" si="17"/>
        <v>0.14053751399776035</v>
      </c>
      <c r="AA32" s="27">
        <f t="shared" si="17"/>
        <v>0.1891891891891892</v>
      </c>
      <c r="AB32" s="27">
        <f t="shared" si="17"/>
        <v>0.2</v>
      </c>
      <c r="AC32" s="1"/>
    </row>
    <row r="33" spans="1:29" x14ac:dyDescent="0.3">
      <c r="A33" s="16" t="s">
        <v>73</v>
      </c>
      <c r="B33" s="2" t="s">
        <v>34</v>
      </c>
      <c r="C33" s="1" t="s">
        <v>110</v>
      </c>
      <c r="D33" s="28">
        <f t="shared" ref="D33:T33" si="18">D8/D6</f>
        <v>0.11807471144417173</v>
      </c>
      <c r="E33" s="28">
        <f t="shared" si="18"/>
        <v>0.11833848213161334</v>
      </c>
      <c r="F33" s="28">
        <f t="shared" si="18"/>
        <v>0.17553888726679726</v>
      </c>
      <c r="G33" s="28">
        <f t="shared" si="18"/>
        <v>0.12173388657350695</v>
      </c>
      <c r="H33" s="28">
        <f t="shared" si="18"/>
        <v>9.6055553759990392E-2</v>
      </c>
      <c r="I33" s="28">
        <f t="shared" si="18"/>
        <v>8.0906741923069875E-2</v>
      </c>
      <c r="J33" s="28">
        <f t="shared" si="18"/>
        <v>0.10378062467054891</v>
      </c>
      <c r="K33" s="28">
        <f t="shared" si="18"/>
        <v>0.10278001131326929</v>
      </c>
      <c r="L33" s="28">
        <f t="shared" si="18"/>
        <v>0.11165848438690022</v>
      </c>
      <c r="M33" s="28">
        <f t="shared" si="18"/>
        <v>0.12578075220819254</v>
      </c>
      <c r="N33" s="28">
        <f t="shared" si="18"/>
        <v>0.12594336020217592</v>
      </c>
      <c r="O33" s="28">
        <f t="shared" si="18"/>
        <v>0.1510598470767085</v>
      </c>
      <c r="P33" s="28">
        <f t="shared" si="18"/>
        <v>0.16051994369763517</v>
      </c>
      <c r="Q33" s="28">
        <f t="shared" si="18"/>
        <v>0.15655434442820018</v>
      </c>
      <c r="R33" s="28">
        <f t="shared" si="18"/>
        <v>0.12152609300671595</v>
      </c>
      <c r="S33" s="28">
        <f t="shared" si="18"/>
        <v>0.12819612876091163</v>
      </c>
      <c r="T33" s="28">
        <f t="shared" si="18"/>
        <v>0.14701241460604217</v>
      </c>
      <c r="U33" s="28">
        <f t="shared" ref="U33:W33" si="19">U8/U6</f>
        <v>0.10129765228258747</v>
      </c>
      <c r="V33" s="28">
        <f t="shared" si="19"/>
        <v>0.12342637365549421</v>
      </c>
      <c r="W33" s="28">
        <f t="shared" si="19"/>
        <v>0.10361614437860456</v>
      </c>
      <c r="X33" s="28">
        <f t="shared" ref="X33:AB33" si="20">X8/X6</f>
        <v>0.14982425307557118</v>
      </c>
      <c r="Y33" s="28">
        <f t="shared" si="20"/>
        <v>0.14665485157288435</v>
      </c>
      <c r="Z33" s="28">
        <f t="shared" si="20"/>
        <v>9.2763157894736839E-2</v>
      </c>
      <c r="AA33" s="28">
        <f t="shared" si="20"/>
        <v>0.13513513513513514</v>
      </c>
      <c r="AB33" s="28">
        <f t="shared" si="20"/>
        <v>0.14666666666666667</v>
      </c>
      <c r="AC33" s="1"/>
    </row>
    <row r="34" spans="1:29" x14ac:dyDescent="0.3">
      <c r="A34" s="18" t="s">
        <v>74</v>
      </c>
      <c r="B34" s="17" t="s">
        <v>35</v>
      </c>
      <c r="C34" s="6" t="s">
        <v>54</v>
      </c>
      <c r="D34" s="27">
        <f t="shared" ref="D34:T34" si="21">D11/D10</f>
        <v>0.13833484931492485</v>
      </c>
      <c r="E34" s="27">
        <f t="shared" si="21"/>
        <v>9.5593772576425248E-2</v>
      </c>
      <c r="F34" s="27">
        <f t="shared" si="21"/>
        <v>0.14911039885497637</v>
      </c>
      <c r="G34" s="27">
        <f t="shared" si="21"/>
        <v>0.31971321127497276</v>
      </c>
      <c r="H34" s="27">
        <f t="shared" si="21"/>
        <v>9.169324324379359E-2</v>
      </c>
      <c r="I34" s="27">
        <f t="shared" si="21"/>
        <v>0.11502389508437884</v>
      </c>
      <c r="J34" s="27">
        <f t="shared" si="21"/>
        <v>0.10699957412510341</v>
      </c>
      <c r="K34" s="27">
        <f t="shared" si="21"/>
        <v>0.22748751637519976</v>
      </c>
      <c r="L34" s="27">
        <f t="shared" si="21"/>
        <v>-0.24764632510797216</v>
      </c>
      <c r="M34" s="27">
        <f t="shared" si="21"/>
        <v>1.6094228434362878</v>
      </c>
      <c r="N34" s="27">
        <f t="shared" si="21"/>
        <v>-7.7017742218308781E-3</v>
      </c>
      <c r="O34" s="27">
        <f t="shared" si="21"/>
        <v>0.30403535197512938</v>
      </c>
      <c r="P34" s="27">
        <f t="shared" si="21"/>
        <v>-0.68736319201020446</v>
      </c>
      <c r="Q34" s="27">
        <f t="shared" si="21"/>
        <v>0.62969352723316308</v>
      </c>
      <c r="R34" s="27">
        <f t="shared" si="21"/>
        <v>0.57108773484760722</v>
      </c>
      <c r="S34" s="27">
        <f t="shared" si="21"/>
        <v>0.47189935472205335</v>
      </c>
      <c r="T34" s="27">
        <f t="shared" si="21"/>
        <v>0.36836208622024713</v>
      </c>
      <c r="U34" s="27">
        <f t="shared" ref="U34:W34" si="22">U11/U10</f>
        <v>0.39583242063656437</v>
      </c>
      <c r="V34" s="27">
        <f t="shared" si="22"/>
        <v>0.28925716490274511</v>
      </c>
      <c r="W34" s="27">
        <f t="shared" si="22"/>
        <v>0.24246879339234392</v>
      </c>
      <c r="X34" s="27">
        <f t="shared" ref="X34:AB34" si="23">X11/X10</f>
        <v>0.24060150375939848</v>
      </c>
      <c r="Y34" s="27">
        <f t="shared" si="23"/>
        <v>0.30748175182481752</v>
      </c>
      <c r="Z34" s="27">
        <f t="shared" si="23"/>
        <v>0.56855824056475701</v>
      </c>
      <c r="AA34" s="27">
        <f t="shared" si="23"/>
        <v>0.375</v>
      </c>
      <c r="AB34" s="27">
        <f t="shared" si="23"/>
        <v>0.375</v>
      </c>
      <c r="AC34" s="1"/>
    </row>
    <row r="35" spans="1:29" x14ac:dyDescent="0.3">
      <c r="A35" s="16" t="s">
        <v>75</v>
      </c>
      <c r="B35" s="2" t="s">
        <v>36</v>
      </c>
      <c r="C35" s="1" t="s">
        <v>108</v>
      </c>
      <c r="D35" s="28">
        <f t="shared" ref="D35:T35" si="24">D12/D6</f>
        <v>2.4766391520216292E-2</v>
      </c>
      <c r="E35" s="28">
        <f t="shared" si="24"/>
        <v>4.102011161499413E-2</v>
      </c>
      <c r="F35" s="28">
        <f t="shared" si="24"/>
        <v>3.7964037464247015E-2</v>
      </c>
      <c r="G35" s="28">
        <f t="shared" si="24"/>
        <v>3.5006901844224392E-2</v>
      </c>
      <c r="H35" s="28">
        <f t="shared" si="24"/>
        <v>3.9458313902753214E-2</v>
      </c>
      <c r="I35" s="28">
        <f t="shared" si="24"/>
        <v>4.5039308032032835E-2</v>
      </c>
      <c r="J35" s="28">
        <f t="shared" si="24"/>
        <v>2.7184215887034603E-2</v>
      </c>
      <c r="K35" s="28">
        <f t="shared" si="24"/>
        <v>9.6427088938308758E-2</v>
      </c>
      <c r="L35" s="28">
        <f t="shared" si="24"/>
        <v>7.3892734196496571E-2</v>
      </c>
      <c r="M35" s="28">
        <f t="shared" si="24"/>
        <v>7.5266513089226744E-2</v>
      </c>
      <c r="N35" s="28">
        <f t="shared" si="24"/>
        <v>-0.50872227197933817</v>
      </c>
      <c r="O35" s="28">
        <f t="shared" si="24"/>
        <v>9.1534479354147158E-2</v>
      </c>
      <c r="P35" s="28">
        <f t="shared" si="24"/>
        <v>3.8516567521792881E-2</v>
      </c>
      <c r="Q35" s="28">
        <f t="shared" si="24"/>
        <v>3.907612419598791E-2</v>
      </c>
      <c r="R35" s="28">
        <f t="shared" si="24"/>
        <v>3.7475127352367875E-2</v>
      </c>
      <c r="S35" s="28">
        <f t="shared" si="24"/>
        <v>4.4599289219199083E-2</v>
      </c>
      <c r="T35" s="28">
        <f t="shared" si="24"/>
        <v>5.8903902968274031E-2</v>
      </c>
      <c r="U35" s="28">
        <f t="shared" ref="U35:AB35" si="25">U12/U6</f>
        <v>5.0272588230362729E-2</v>
      </c>
      <c r="V35" s="28">
        <f t="shared" si="25"/>
        <v>4.3362387226555964E-2</v>
      </c>
      <c r="W35" s="28">
        <f t="shared" si="25"/>
        <v>5.5647018704270045E-2</v>
      </c>
      <c r="X35" s="28">
        <f t="shared" si="25"/>
        <v>8.8752196836555358E-2</v>
      </c>
      <c r="Y35" s="28">
        <f t="shared" si="25"/>
        <v>8.4071776694727512E-2</v>
      </c>
      <c r="Z35" s="28">
        <f t="shared" si="25"/>
        <v>2.2242441209406494E-2</v>
      </c>
      <c r="AA35" s="28">
        <f t="shared" si="25"/>
        <v>6.7567567567567571E-2</v>
      </c>
      <c r="AB35" s="28">
        <f t="shared" si="25"/>
        <v>6.6666666666666666E-2</v>
      </c>
      <c r="AC35" s="1"/>
    </row>
    <row r="36" spans="1:29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22.644975876419259</v>
      </c>
      <c r="E36" s="29">
        <f t="shared" ref="E36:AB36" si="26">IF(E26/E12&lt;0,0,E26/E12)</f>
        <v>18.469049691845058</v>
      </c>
      <c r="F36" s="29">
        <f t="shared" si="26"/>
        <v>22.563960610909792</v>
      </c>
      <c r="G36" s="29">
        <f t="shared" si="26"/>
        <v>14.7319952717053</v>
      </c>
      <c r="H36" s="29">
        <f t="shared" si="26"/>
        <v>13.63210858881348</v>
      </c>
      <c r="I36" s="29">
        <f t="shared" si="26"/>
        <v>12.864917098972638</v>
      </c>
      <c r="J36" s="29">
        <f t="shared" si="26"/>
        <v>24.312049158429069</v>
      </c>
      <c r="K36" s="29">
        <f t="shared" si="26"/>
        <v>12.376091766022057</v>
      </c>
      <c r="L36" s="29">
        <f t="shared" si="26"/>
        <v>19.240114375049735</v>
      </c>
      <c r="M36" s="29">
        <f t="shared" si="26"/>
        <v>15.485800307967891</v>
      </c>
      <c r="N36" s="29">
        <f t="shared" si="26"/>
        <v>0</v>
      </c>
      <c r="O36" s="29">
        <f t="shared" si="26"/>
        <v>8.8602889868151617</v>
      </c>
      <c r="P36" s="29">
        <f t="shared" si="26"/>
        <v>13.479190392558817</v>
      </c>
      <c r="Q36" s="29">
        <f t="shared" si="26"/>
        <v>15.747310102071614</v>
      </c>
      <c r="R36" s="29">
        <f t="shared" si="26"/>
        <v>14.248760168167546</v>
      </c>
      <c r="S36" s="29">
        <f t="shared" si="26"/>
        <v>10.680563521786237</v>
      </c>
      <c r="T36" s="29">
        <f t="shared" si="26"/>
        <v>7.7477838792377609</v>
      </c>
      <c r="U36" s="29">
        <f t="shared" si="26"/>
        <v>9.0179330106974103</v>
      </c>
      <c r="V36" s="29">
        <f t="shared" si="26"/>
        <v>6.1544079532685245</v>
      </c>
      <c r="W36" s="29">
        <f t="shared" si="26"/>
        <v>9.0884415517982475</v>
      </c>
      <c r="X36" s="29">
        <f t="shared" si="26"/>
        <v>7.0323605376237639</v>
      </c>
      <c r="Y36" s="29">
        <f t="shared" si="26"/>
        <v>5.5397294526350462</v>
      </c>
      <c r="Z36" s="29">
        <f t="shared" si="26"/>
        <v>15.491378628067967</v>
      </c>
      <c r="AA36" s="29">
        <f t="shared" si="26"/>
        <v>4.8000811248000002</v>
      </c>
      <c r="AB36" s="29">
        <f t="shared" si="26"/>
        <v>5.3353999999999999</v>
      </c>
      <c r="AC36" s="1"/>
    </row>
    <row r="37" spans="1:29" x14ac:dyDescent="0.3">
      <c r="A37" s="16" t="s">
        <v>77</v>
      </c>
      <c r="B37" s="2" t="s">
        <v>38</v>
      </c>
      <c r="C37" s="1" t="s">
        <v>57</v>
      </c>
      <c r="D37" s="30">
        <f t="shared" ref="D37:T37" si="27">D26/D23</f>
        <v>1.885088365906173</v>
      </c>
      <c r="E37" s="30">
        <f t="shared" si="27"/>
        <v>2.9371787682418007</v>
      </c>
      <c r="F37" s="30">
        <f t="shared" si="27"/>
        <v>2.5091567650572828</v>
      </c>
      <c r="G37" s="30">
        <f t="shared" si="27"/>
        <v>1.785723588795892</v>
      </c>
      <c r="H37" s="30">
        <f t="shared" si="27"/>
        <v>1.7271029145788241</v>
      </c>
      <c r="I37" s="30">
        <f t="shared" si="27"/>
        <v>1.6277977270679693</v>
      </c>
      <c r="J37" s="30">
        <f t="shared" si="27"/>
        <v>1.7462538656855406</v>
      </c>
      <c r="K37" s="30">
        <f t="shared" si="27"/>
        <v>3.0872859403358475</v>
      </c>
      <c r="L37" s="30">
        <f t="shared" si="27"/>
        <v>3.1235035090797543</v>
      </c>
      <c r="M37" s="30">
        <f t="shared" si="27"/>
        <v>2.4339011294939348</v>
      </c>
      <c r="N37" s="30">
        <f t="shared" si="27"/>
        <v>-3.6950671994502229</v>
      </c>
      <c r="O37" s="30">
        <f t="shared" si="27"/>
        <v>25.604929702883787</v>
      </c>
      <c r="P37" s="30">
        <f t="shared" si="27"/>
        <v>8.9332709813209039</v>
      </c>
      <c r="Q37" s="30">
        <f t="shared" si="27"/>
        <v>6.5528735838191592</v>
      </c>
      <c r="R37" s="30">
        <f t="shared" si="27"/>
        <v>4.1058733220064294</v>
      </c>
      <c r="S37" s="30">
        <f t="shared" si="27"/>
        <v>2.8429322201588234</v>
      </c>
      <c r="T37" s="30">
        <f t="shared" si="27"/>
        <v>2.3875271854204385</v>
      </c>
      <c r="U37" s="30">
        <f t="shared" ref="U37:Z37" si="28">U26/U23</f>
        <v>2.0226152191637112</v>
      </c>
      <c r="V37" s="30">
        <f t="shared" si="28"/>
        <v>1.0256324825035186</v>
      </c>
      <c r="W37" s="30">
        <f t="shared" si="28"/>
        <v>1.4903579405825245</v>
      </c>
      <c r="X37" s="30">
        <f t="shared" si="28"/>
        <v>1.4953019248421056</v>
      </c>
      <c r="Y37" s="30">
        <f t="shared" si="28"/>
        <v>0.95996681610730605</v>
      </c>
      <c r="Z37" s="30">
        <f t="shared" si="28"/>
        <v>0.54219825198237892</v>
      </c>
      <c r="AA37" s="30">
        <f t="shared" ref="AA37" si="29">AA26/AA23</f>
        <v>0.5074081527272728</v>
      </c>
      <c r="AB37" s="30"/>
      <c r="AC37" s="1"/>
    </row>
    <row r="38" spans="1:29" x14ac:dyDescent="0.3">
      <c r="A38" s="18" t="s">
        <v>78</v>
      </c>
      <c r="B38" s="17" t="s">
        <v>39</v>
      </c>
      <c r="C38" s="6" t="s">
        <v>106</v>
      </c>
      <c r="D38" s="55">
        <f t="shared" ref="D38:T38" si="30">D8/D23</f>
        <v>0.39687524383406136</v>
      </c>
      <c r="E38" s="55">
        <f t="shared" si="30"/>
        <v>0.45879110279943769</v>
      </c>
      <c r="F38" s="55">
        <f t="shared" si="30"/>
        <v>0.51417790508628125</v>
      </c>
      <c r="G38" s="55">
        <f t="shared" si="30"/>
        <v>0.42151251705406984</v>
      </c>
      <c r="H38" s="55">
        <f t="shared" si="30"/>
        <v>0.30841758828238502</v>
      </c>
      <c r="I38" s="55">
        <f t="shared" si="30"/>
        <v>0.22729320308377415</v>
      </c>
      <c r="J38" s="55">
        <f t="shared" si="30"/>
        <v>0.27421126054534645</v>
      </c>
      <c r="K38" s="55">
        <f t="shared" si="30"/>
        <v>0.26589057269565847</v>
      </c>
      <c r="L38" s="55">
        <f t="shared" si="30"/>
        <v>0.24531513347681796</v>
      </c>
      <c r="M38" s="55">
        <f t="shared" si="30"/>
        <v>0.26265257836989514</v>
      </c>
      <c r="N38" s="55">
        <f t="shared" si="30"/>
        <v>-1.4522600336437572</v>
      </c>
      <c r="O38" s="55">
        <f t="shared" si="30"/>
        <v>4.7691394988611764</v>
      </c>
      <c r="P38" s="55">
        <f t="shared" si="30"/>
        <v>2.762028285870016</v>
      </c>
      <c r="Q38" s="55">
        <f t="shared" si="30"/>
        <v>1.6671667976680355</v>
      </c>
      <c r="R38" s="55">
        <f t="shared" si="30"/>
        <v>0.93444745993126377</v>
      </c>
      <c r="S38" s="55">
        <f t="shared" si="30"/>
        <v>0.76510195473176301</v>
      </c>
      <c r="T38" s="55">
        <f t="shared" si="30"/>
        <v>0.76909637825442545</v>
      </c>
      <c r="U38" s="55">
        <f t="shared" ref="U38:Z38" si="31">U8/U23</f>
        <v>0.45193336055454697</v>
      </c>
      <c r="V38" s="55">
        <f t="shared" si="31"/>
        <v>0.47435149328540016</v>
      </c>
      <c r="W38" s="55">
        <f t="shared" si="31"/>
        <v>0.30534210355987057</v>
      </c>
      <c r="X38" s="55">
        <f t="shared" si="31"/>
        <v>0.35894736842105263</v>
      </c>
      <c r="Y38" s="55">
        <f t="shared" si="31"/>
        <v>0.30228310502283107</v>
      </c>
      <c r="Z38" s="55">
        <f t="shared" si="31"/>
        <v>0.1459691629955947</v>
      </c>
      <c r="AA38" s="55">
        <f t="shared" ref="AA38" si="32">AA8/AA23</f>
        <v>0.21141649048625794</v>
      </c>
      <c r="AB38" s="1"/>
      <c r="AC38" s="1"/>
    </row>
    <row r="39" spans="1:29" x14ac:dyDescent="0.3">
      <c r="A39" s="16" t="s">
        <v>79</v>
      </c>
      <c r="B39" s="2" t="s">
        <v>40</v>
      </c>
      <c r="C39" s="1" t="s">
        <v>107</v>
      </c>
      <c r="D39" s="56">
        <f t="shared" ref="D39:T39" si="33">D12/D23</f>
        <v>8.3245324534399673E-2</v>
      </c>
      <c r="E39" s="56">
        <f t="shared" si="33"/>
        <v>0.1590324795941559</v>
      </c>
      <c r="F39" s="56">
        <f t="shared" si="33"/>
        <v>0.11120196530763719</v>
      </c>
      <c r="G39" s="56">
        <f t="shared" si="33"/>
        <v>0.12121396700592248</v>
      </c>
      <c r="H39" s="56">
        <f t="shared" si="33"/>
        <v>0.126693746849705</v>
      </c>
      <c r="I39" s="56">
        <f t="shared" si="33"/>
        <v>0.12652998185258116</v>
      </c>
      <c r="J39" s="56">
        <f t="shared" si="33"/>
        <v>7.1826683728142618E-2</v>
      </c>
      <c r="K39" s="56">
        <f t="shared" si="33"/>
        <v>0.24945564389008792</v>
      </c>
      <c r="L39" s="56">
        <f t="shared" si="33"/>
        <v>0.16234329215476301</v>
      </c>
      <c r="M39" s="56">
        <f t="shared" si="33"/>
        <v>0.15716986407487268</v>
      </c>
      <c r="N39" s="56">
        <f t="shared" si="33"/>
        <v>5.8661053876445495</v>
      </c>
      <c r="O39" s="56">
        <f t="shared" si="33"/>
        <v>2.8898526606734869</v>
      </c>
      <c r="P39" s="56">
        <f t="shared" si="33"/>
        <v>0.66274536683245555</v>
      </c>
      <c r="Q39" s="56">
        <f t="shared" si="33"/>
        <v>0.41612653471256056</v>
      </c>
      <c r="R39" s="56">
        <f t="shared" si="33"/>
        <v>0.28815653246653411</v>
      </c>
      <c r="S39" s="56">
        <f t="shared" si="33"/>
        <v>0.26617811076726472</v>
      </c>
      <c r="T39" s="56">
        <f t="shared" si="33"/>
        <v>0.30815614150240433</v>
      </c>
      <c r="U39" s="56">
        <f t="shared" ref="U39:Z39" si="34">U12/U23</f>
        <v>0.22428811755026448</v>
      </c>
      <c r="V39" s="56">
        <f t="shared" si="34"/>
        <v>0.16665006452144901</v>
      </c>
      <c r="W39" s="56">
        <f t="shared" si="34"/>
        <v>0.16398388349514564</v>
      </c>
      <c r="X39" s="56">
        <f t="shared" si="34"/>
        <v>0.21263157894736842</v>
      </c>
      <c r="Y39" s="56">
        <f t="shared" si="34"/>
        <v>0.17328767123287672</v>
      </c>
      <c r="Z39" s="56">
        <f t="shared" si="34"/>
        <v>3.5000000000000003E-2</v>
      </c>
      <c r="AA39" s="56">
        <f t="shared" ref="AA39" si="35">AA12/AA23</f>
        <v>0.10570824524312897</v>
      </c>
      <c r="AB39" s="1"/>
      <c r="AC39" s="1"/>
    </row>
    <row r="40" spans="1:29" x14ac:dyDescent="0.3">
      <c r="A40" s="18" t="s">
        <v>80</v>
      </c>
      <c r="B40" s="17" t="s">
        <v>41</v>
      </c>
      <c r="C40" s="6" t="s">
        <v>61</v>
      </c>
      <c r="D40" s="7">
        <f t="shared" ref="D40:T40" si="36">D20-D19</f>
        <v>30.675705000000008</v>
      </c>
      <c r="E40" s="7">
        <f t="shared" si="36"/>
        <v>16.969385000000003</v>
      </c>
      <c r="F40" s="7">
        <f t="shared" si="36"/>
        <v>112.256247</v>
      </c>
      <c r="G40" s="7">
        <f t="shared" si="36"/>
        <v>60.592796000000007</v>
      </c>
      <c r="H40" s="7">
        <f t="shared" si="36"/>
        <v>42.635824999999997</v>
      </c>
      <c r="I40" s="7">
        <f t="shared" si="36"/>
        <v>9.5934190000000115</v>
      </c>
      <c r="J40" s="7">
        <f t="shared" si="36"/>
        <v>-28.985001000000011</v>
      </c>
      <c r="K40" s="7">
        <f t="shared" si="36"/>
        <v>33.479395999999994</v>
      </c>
      <c r="L40" s="7">
        <f t="shared" si="36"/>
        <v>25.482962000000001</v>
      </c>
      <c r="M40" s="7">
        <f t="shared" si="36"/>
        <v>57.542494000000033</v>
      </c>
      <c r="N40" s="7">
        <f t="shared" si="36"/>
        <v>-21.766894999999991</v>
      </c>
      <c r="O40" s="7">
        <f t="shared" si="36"/>
        <v>-51.704362000000003</v>
      </c>
      <c r="P40" s="7">
        <f t="shared" si="36"/>
        <v>-84.828188999999995</v>
      </c>
      <c r="Q40" s="7">
        <f t="shared" si="36"/>
        <v>-95.284561999999994</v>
      </c>
      <c r="R40" s="7">
        <f t="shared" si="36"/>
        <v>-76.00103</v>
      </c>
      <c r="S40" s="7">
        <f t="shared" si="36"/>
        <v>-22.539995000000001</v>
      </c>
      <c r="T40" s="7">
        <f t="shared" si="36"/>
        <v>-22.595988000000002</v>
      </c>
      <c r="U40" s="7">
        <f t="shared" ref="U40:Z40" si="37">U20-U19</f>
        <v>-15.544460000000004</v>
      </c>
      <c r="V40" s="7">
        <f t="shared" si="37"/>
        <v>-24.949118000000002</v>
      </c>
      <c r="W40" s="7">
        <f t="shared" si="37"/>
        <v>-37.434064999999997</v>
      </c>
      <c r="X40" s="7">
        <f t="shared" si="37"/>
        <v>-48.5</v>
      </c>
      <c r="Y40" s="7">
        <f t="shared" si="37"/>
        <v>-56.699999999999996</v>
      </c>
      <c r="Z40" s="7">
        <f t="shared" si="37"/>
        <v>-51.2</v>
      </c>
      <c r="AA40" s="7">
        <f t="shared" ref="AA40" si="38">AA20-AA19</f>
        <v>-49.3</v>
      </c>
      <c r="AB40" s="1"/>
      <c r="AC40" s="1"/>
    </row>
    <row r="41" spans="1:29" x14ac:dyDescent="0.3">
      <c r="A41" s="53" t="s">
        <v>96</v>
      </c>
      <c r="B41" s="49" t="s">
        <v>42</v>
      </c>
      <c r="C41" s="52" t="s">
        <v>98</v>
      </c>
      <c r="D41" s="29">
        <f t="shared" ref="D41:T41" si="39">D20/D19</f>
        <v>1.7972269096036935</v>
      </c>
      <c r="E41" s="29">
        <f t="shared" si="39"/>
        <v>1.2363273180953556</v>
      </c>
      <c r="F41" s="29">
        <f t="shared" si="39"/>
        <v>1.8318279345295296</v>
      </c>
      <c r="G41" s="29">
        <f t="shared" si="39"/>
        <v>1.6283834695006549</v>
      </c>
      <c r="H41" s="29">
        <f t="shared" si="39"/>
        <v>1.3977809690656293</v>
      </c>
      <c r="I41" s="29">
        <f t="shared" si="39"/>
        <v>1.0654954527570897</v>
      </c>
      <c r="J41" s="29">
        <f t="shared" si="39"/>
        <v>0.82537011022016493</v>
      </c>
      <c r="K41" s="29">
        <f t="shared" si="39"/>
        <v>1.4515841772408691</v>
      </c>
      <c r="L41" s="29">
        <f t="shared" si="39"/>
        <v>1.2884591970274679</v>
      </c>
      <c r="M41" s="29">
        <f t="shared" si="39"/>
        <v>1.2885987437551287</v>
      </c>
      <c r="N41" s="29">
        <f t="shared" si="39"/>
        <v>0.85428857235462463</v>
      </c>
      <c r="O41" s="29">
        <f t="shared" si="39"/>
        <v>0.72540015633875532</v>
      </c>
      <c r="P41" s="29">
        <f t="shared" si="39"/>
        <v>0.54425140903355651</v>
      </c>
      <c r="Q41" s="29">
        <f t="shared" si="39"/>
        <v>0.38379827789047644</v>
      </c>
      <c r="R41" s="29">
        <f t="shared" si="39"/>
        <v>0.29189811424029311</v>
      </c>
      <c r="S41" s="29">
        <f t="shared" si="39"/>
        <v>0.56747074972322631</v>
      </c>
      <c r="T41" s="29">
        <f t="shared" si="39"/>
        <v>0.58607265264133179</v>
      </c>
      <c r="U41" s="29">
        <f t="shared" ref="U41:Z41" si="40">U20/U19</f>
        <v>0.65193858581664388</v>
      </c>
      <c r="V41" s="29">
        <f t="shared" si="40"/>
        <v>0.54410406401831157</v>
      </c>
      <c r="W41" s="29">
        <f t="shared" si="40"/>
        <v>0.37541254710488936</v>
      </c>
      <c r="X41" s="29">
        <f t="shared" si="40"/>
        <v>0.30515759312320917</v>
      </c>
      <c r="Y41" s="29">
        <f t="shared" si="40"/>
        <v>0.26932989690721648</v>
      </c>
      <c r="Z41" s="29">
        <f t="shared" si="40"/>
        <v>0.33506493506493507</v>
      </c>
      <c r="AA41" s="29">
        <f t="shared" ref="AA41" si="41">AA20/AA19</f>
        <v>0.37831021437578816</v>
      </c>
      <c r="AB41" s="1"/>
      <c r="AC41" s="1"/>
    </row>
    <row r="42" spans="1:29" x14ac:dyDescent="0.3">
      <c r="A42" s="16" t="s">
        <v>81</v>
      </c>
      <c r="B42" s="17" t="s">
        <v>43</v>
      </c>
      <c r="C42" s="1" t="s">
        <v>60</v>
      </c>
      <c r="D42" s="30">
        <f t="shared" ref="D42:T42" si="42">(D20-D21)/D19</f>
        <v>1.04102551041491</v>
      </c>
      <c r="E42" s="30">
        <f t="shared" si="42"/>
        <v>0.73294518727460101</v>
      </c>
      <c r="F42" s="30">
        <f t="shared" si="42"/>
        <v>1.652329522498871</v>
      </c>
      <c r="G42" s="30">
        <f t="shared" si="42"/>
        <v>1.3207734237771076</v>
      </c>
      <c r="H42" s="30">
        <f t="shared" si="42"/>
        <v>1.1744174734749788</v>
      </c>
      <c r="I42" s="30">
        <f t="shared" si="42"/>
        <v>0.87560790496475283</v>
      </c>
      <c r="J42" s="30">
        <f t="shared" si="42"/>
        <v>0.66118229221047087</v>
      </c>
      <c r="K42" s="30">
        <f t="shared" si="42"/>
        <v>1.4209867740100361</v>
      </c>
      <c r="L42" s="30">
        <f t="shared" si="42"/>
        <v>1.2562179842414538</v>
      </c>
      <c r="M42" s="30">
        <f t="shared" si="42"/>
        <v>1.2750005794043247</v>
      </c>
      <c r="N42" s="30">
        <f t="shared" si="42"/>
        <v>0.84131037238081496</v>
      </c>
      <c r="O42" s="30">
        <f t="shared" si="42"/>
        <v>0.70877866514787347</v>
      </c>
      <c r="P42" s="30">
        <f t="shared" si="42"/>
        <v>0.52284854054451924</v>
      </c>
      <c r="Q42" s="30">
        <f t="shared" si="42"/>
        <v>0.35732672259697085</v>
      </c>
      <c r="R42" s="30">
        <f t="shared" si="42"/>
        <v>0.27254961355770146</v>
      </c>
      <c r="S42" s="30">
        <f t="shared" si="42"/>
        <v>0.5242729654708983</v>
      </c>
      <c r="T42" s="30">
        <f t="shared" si="42"/>
        <v>0.55176387165233831</v>
      </c>
      <c r="U42" s="30">
        <f t="shared" ref="U42:Z42" si="43">(U20-U21)/U19</f>
        <v>0.60735091834867294</v>
      </c>
      <c r="V42" s="30">
        <f t="shared" si="43"/>
        <v>0.51104947172036008</v>
      </c>
      <c r="W42" s="30">
        <f t="shared" si="43"/>
        <v>0.35372204438327354</v>
      </c>
      <c r="X42" s="30">
        <f t="shared" si="43"/>
        <v>0.28653295128939832</v>
      </c>
      <c r="Y42" s="30">
        <f t="shared" si="43"/>
        <v>0.25</v>
      </c>
      <c r="Z42" s="30">
        <f t="shared" si="43"/>
        <v>0.32207792207792207</v>
      </c>
      <c r="AA42" s="30">
        <f t="shared" ref="AA42" si="44">(AA20-AA21)/AA19</f>
        <v>0.36443883984867592</v>
      </c>
      <c r="AB42" s="1"/>
      <c r="AC42" s="1"/>
    </row>
    <row r="43" spans="1:29" x14ac:dyDescent="0.3">
      <c r="A43" s="18" t="s">
        <v>82</v>
      </c>
      <c r="B43" s="49" t="s">
        <v>44</v>
      </c>
      <c r="C43" s="6" t="s">
        <v>62</v>
      </c>
      <c r="D43" s="29">
        <f t="shared" ref="D43:T43" si="45">D14/D19</f>
        <v>9.9101278886304156E-2</v>
      </c>
      <c r="E43" s="29">
        <f t="shared" si="45"/>
        <v>4.2732647225800412E-2</v>
      </c>
      <c r="F43" s="29">
        <f t="shared" si="45"/>
        <v>1.1825104619420328</v>
      </c>
      <c r="G43" s="29">
        <f t="shared" si="45"/>
        <v>0.32840476241045202</v>
      </c>
      <c r="H43" s="29">
        <f t="shared" si="45"/>
        <v>0.32018488736793471</v>
      </c>
      <c r="I43" s="29">
        <f t="shared" si="45"/>
        <v>0.10502954092765078</v>
      </c>
      <c r="J43" s="29">
        <f t="shared" si="45"/>
        <v>0.18755052503135777</v>
      </c>
      <c r="K43" s="29">
        <f t="shared" si="45"/>
        <v>1.0841197936854337</v>
      </c>
      <c r="L43" s="29">
        <f t="shared" si="45"/>
        <v>0.71325853177389087</v>
      </c>
      <c r="M43" s="29">
        <f t="shared" si="45"/>
        <v>0.4262533799484195</v>
      </c>
      <c r="N43" s="29">
        <f t="shared" si="45"/>
        <v>0.23645457236391618</v>
      </c>
      <c r="O43" s="29">
        <f t="shared" si="45"/>
        <v>0.23313830334291263</v>
      </c>
      <c r="P43" s="29">
        <f t="shared" si="45"/>
        <v>2.0790235392752408E-2</v>
      </c>
      <c r="Q43" s="29">
        <f t="shared" si="45"/>
        <v>7.8917207697628458E-2</v>
      </c>
      <c r="R43" s="29">
        <f t="shared" si="45"/>
        <v>8.3874463361544041E-2</v>
      </c>
      <c r="S43" s="29">
        <f t="shared" si="45"/>
        <v>0.14288733602623468</v>
      </c>
      <c r="T43" s="29">
        <f t="shared" si="45"/>
        <v>0.14520310139388037</v>
      </c>
      <c r="U43" s="29">
        <f t="shared" ref="U43:Z43" si="46">U14/U19</f>
        <v>0.18346530159455282</v>
      </c>
      <c r="V43" s="29">
        <f t="shared" si="46"/>
        <v>0.17183478763187163</v>
      </c>
      <c r="W43" s="29">
        <f t="shared" si="46"/>
        <v>5.7554297376625471E-2</v>
      </c>
      <c r="X43" s="29">
        <f t="shared" si="46"/>
        <v>4.4412607449856735E-2</v>
      </c>
      <c r="Y43" s="29">
        <f t="shared" si="46"/>
        <v>3.9948453608247426E-2</v>
      </c>
      <c r="Z43" s="29">
        <f t="shared" si="46"/>
        <v>0.19870129870129871</v>
      </c>
      <c r="AA43" s="29">
        <f t="shared" ref="AA43" si="47">AA14/AA19</f>
        <v>0.21689785624211855</v>
      </c>
      <c r="AB43" s="1"/>
      <c r="AC43" s="1"/>
    </row>
    <row r="44" spans="1:29" x14ac:dyDescent="0.3">
      <c r="A44" s="16" t="s">
        <v>83</v>
      </c>
      <c r="B44" s="17" t="s">
        <v>45</v>
      </c>
      <c r="C44" s="1" t="s">
        <v>63</v>
      </c>
      <c r="D44" s="30">
        <f t="shared" ref="D44:T44" si="48">D29/D7</f>
        <v>2.6069840800322153</v>
      </c>
      <c r="E44" s="30">
        <f t="shared" si="48"/>
        <v>4.3461543797564</v>
      </c>
      <c r="F44" s="30">
        <f t="shared" si="48"/>
        <v>4.6820619391473652</v>
      </c>
      <c r="G44" s="30">
        <f t="shared" si="48"/>
        <v>4.063993419767435</v>
      </c>
      <c r="H44" s="30">
        <f t="shared" si="48"/>
        <v>3.0995425612337466</v>
      </c>
      <c r="I44" s="30">
        <f t="shared" si="48"/>
        <v>4.4158593248011799</v>
      </c>
      <c r="J44" s="30">
        <f t="shared" si="48"/>
        <v>3.3272048349961625</v>
      </c>
      <c r="K44" s="30">
        <f t="shared" si="48"/>
        <v>3.1624085643869368</v>
      </c>
      <c r="L44" s="30">
        <f t="shared" si="48"/>
        <v>2.2023578740157479</v>
      </c>
      <c r="M44" s="30">
        <f t="shared" si="48"/>
        <v>7.3436070559610718</v>
      </c>
      <c r="N44" s="30">
        <f t="shared" si="48"/>
        <v>8.0974085480945401</v>
      </c>
      <c r="O44" s="30">
        <f t="shared" si="48"/>
        <v>6.5259669399549782</v>
      </c>
      <c r="P44" s="30">
        <f t="shared" si="48"/>
        <v>6.3302873333333336</v>
      </c>
      <c r="Q44" s="30">
        <f t="shared" si="48"/>
        <v>4.6496434760200982</v>
      </c>
      <c r="R44" s="30">
        <f t="shared" si="48"/>
        <v>7.0039375062668832</v>
      </c>
      <c r="S44" s="30">
        <f t="shared" si="48"/>
        <v>6.3203628553262998</v>
      </c>
      <c r="T44" s="30">
        <f t="shared" si="48"/>
        <v>3.7563589550273364</v>
      </c>
      <c r="U44" s="30">
        <f t="shared" ref="U44:Z44" si="49">U29/U7</f>
        <v>4.5508954924911444</v>
      </c>
      <c r="V44" s="30">
        <f t="shared" si="49"/>
        <v>3.9659165466217514</v>
      </c>
      <c r="W44" s="30">
        <f t="shared" si="49"/>
        <v>4.6909720423730565</v>
      </c>
      <c r="X44" s="30">
        <f t="shared" si="49"/>
        <v>2.7989657401422106</v>
      </c>
      <c r="Y44" s="30">
        <f t="shared" si="49"/>
        <v>4.1399999999999997</v>
      </c>
      <c r="Z44" s="30">
        <f t="shared" si="49"/>
        <v>5.0996015936254988</v>
      </c>
      <c r="AA44" s="30">
        <f t="shared" ref="AA44" si="50">AA29/AA7</f>
        <v>3.4928571428571424</v>
      </c>
      <c r="AB44" s="1"/>
      <c r="AC44" s="1"/>
    </row>
    <row r="45" spans="1:29" x14ac:dyDescent="0.3">
      <c r="A45" s="18" t="s">
        <v>84</v>
      </c>
      <c r="B45" s="54" t="s">
        <v>99</v>
      </c>
      <c r="C45" s="6" t="s">
        <v>64</v>
      </c>
      <c r="D45" s="29">
        <f t="shared" ref="D45:T45" si="51">D18/D23</f>
        <v>3.1027812431825987</v>
      </c>
      <c r="E45" s="29">
        <f t="shared" si="51"/>
        <v>4.9577320542210428</v>
      </c>
      <c r="F45" s="29">
        <f t="shared" si="51"/>
        <v>6.8259483721664536</v>
      </c>
      <c r="G45" s="29">
        <f t="shared" si="51"/>
        <v>4.7001599713445428</v>
      </c>
      <c r="H45" s="29">
        <f t="shared" si="51"/>
        <v>3.7412162362498895</v>
      </c>
      <c r="I45" s="29">
        <f t="shared" si="51"/>
        <v>3.6299517355882465</v>
      </c>
      <c r="J45" s="29">
        <f t="shared" si="51"/>
        <v>2.4783719502503789</v>
      </c>
      <c r="K45" s="29">
        <f t="shared" si="51"/>
        <v>3.5899890703184445</v>
      </c>
      <c r="L45" s="29">
        <f t="shared" si="51"/>
        <v>2.6229132016582444</v>
      </c>
      <c r="M45" s="29">
        <f t="shared" si="51"/>
        <v>4.7873661878240803</v>
      </c>
      <c r="N45" s="29">
        <f t="shared" si="51"/>
        <v>-20.511619921613185</v>
      </c>
      <c r="O45" s="29">
        <f t="shared" si="51"/>
        <v>57.287992201691502</v>
      </c>
      <c r="P45" s="29">
        <f t="shared" si="51"/>
        <v>26.737851796703861</v>
      </c>
      <c r="Q45" s="29">
        <f t="shared" si="51"/>
        <v>13.636138135689396</v>
      </c>
      <c r="R45" s="29">
        <f t="shared" si="51"/>
        <v>8.6630125968552409</v>
      </c>
      <c r="S45" s="29">
        <f t="shared" si="51"/>
        <v>6.6053286091307593</v>
      </c>
      <c r="T45" s="29">
        <f t="shared" si="51"/>
        <v>5.6335462859043988</v>
      </c>
      <c r="U45" s="29">
        <f t="shared" ref="U45:Z45" si="52">U18/U23</f>
        <v>4.7275798340971313</v>
      </c>
      <c r="V45" s="29">
        <f t="shared" si="52"/>
        <v>3.6809940487655388</v>
      </c>
      <c r="W45" s="29">
        <f t="shared" si="52"/>
        <v>2.6699029126213594</v>
      </c>
      <c r="X45" s="29">
        <f t="shared" si="52"/>
        <v>1.9578947368421054</v>
      </c>
      <c r="Y45" s="29">
        <f t="shared" si="52"/>
        <v>2.0365296803652968</v>
      </c>
      <c r="Z45" s="29">
        <f t="shared" si="52"/>
        <v>1.9229074889867841</v>
      </c>
      <c r="AA45" s="29">
        <f t="shared" ref="AA45" si="53">AA18/AA23</f>
        <v>1.8879492600422834</v>
      </c>
      <c r="AB45" s="29"/>
      <c r="AC45" s="1"/>
    </row>
    <row r="46" spans="1:29" x14ac:dyDescent="0.3">
      <c r="A46" s="18" t="s">
        <v>97</v>
      </c>
      <c r="B46" s="17" t="s">
        <v>100</v>
      </c>
      <c r="C46" s="6" t="s">
        <v>111</v>
      </c>
      <c r="D46" s="28">
        <f t="shared" ref="D46:T46" si="54">D13/D4</f>
        <v>0.18726591760299627</v>
      </c>
      <c r="E46" s="28">
        <f t="shared" si="54"/>
        <v>0.23825123592828637</v>
      </c>
      <c r="F46" s="28">
        <f t="shared" si="54"/>
        <v>1.7927572606669058E-2</v>
      </c>
      <c r="G46" s="28">
        <f t="shared" si="54"/>
        <v>2.7522935779816512E-2</v>
      </c>
      <c r="H46" s="28">
        <f t="shared" si="54"/>
        <v>3.0042918454935626E-2</v>
      </c>
      <c r="I46" s="28">
        <f t="shared" si="54"/>
        <v>3.1626803716149433E-2</v>
      </c>
      <c r="J46" s="28">
        <f t="shared" si="54"/>
        <v>2.7472527472527472E-2</v>
      </c>
      <c r="K46" s="28">
        <f t="shared" si="54"/>
        <v>3.3112582781456956E-2</v>
      </c>
      <c r="L46" s="28">
        <f t="shared" si="54"/>
        <v>1.9230769230769232E-2</v>
      </c>
      <c r="M46" s="28">
        <f t="shared" si="54"/>
        <v>2.2875816993464054E-2</v>
      </c>
      <c r="N46" s="28">
        <f t="shared" si="54"/>
        <v>7.7777777777777779E-2</v>
      </c>
      <c r="O46" s="28">
        <f t="shared" si="54"/>
        <v>0</v>
      </c>
      <c r="P46" s="28">
        <f t="shared" si="54"/>
        <v>1.4492753623188408E-2</v>
      </c>
      <c r="Q46" s="28">
        <f t="shared" si="54"/>
        <v>1.3157894736842105E-2</v>
      </c>
      <c r="R46" s="28">
        <f t="shared" si="54"/>
        <v>1.6949152542372881E-2</v>
      </c>
      <c r="S46" s="28">
        <f t="shared" si="54"/>
        <v>0.02</v>
      </c>
      <c r="T46" s="28">
        <f t="shared" si="54"/>
        <v>2.1186440677966104E-2</v>
      </c>
      <c r="U46" s="28">
        <f t="shared" ref="U46:AB46" si="55">U13/U4</f>
        <v>4.49438202247191E-2</v>
      </c>
      <c r="V46" s="28">
        <f t="shared" si="55"/>
        <v>5.7692307692307689E-2</v>
      </c>
      <c r="W46" s="28">
        <f t="shared" si="55"/>
        <v>0</v>
      </c>
      <c r="X46" s="28">
        <f t="shared" si="55"/>
        <v>1.8050541516245487E-2</v>
      </c>
      <c r="Y46" s="28">
        <f t="shared" si="55"/>
        <v>2.4390243902439025E-2</v>
      </c>
      <c r="Z46" s="28">
        <f t="shared" si="55"/>
        <v>0</v>
      </c>
      <c r="AA46" s="28">
        <f t="shared" si="55"/>
        <v>0</v>
      </c>
      <c r="AB46" s="28">
        <f t="shared" si="55"/>
        <v>0</v>
      </c>
      <c r="AC46" s="1"/>
    </row>
    <row r="47" spans="1:29" x14ac:dyDescent="0.3">
      <c r="B47" t="s">
        <v>89</v>
      </c>
      <c r="C47" s="26" t="s">
        <v>91</v>
      </c>
    </row>
    <row r="63" spans="4:21" x14ac:dyDescent="0.3">
      <c r="U63" s="23"/>
    </row>
    <row r="64" spans="4:21" x14ac:dyDescent="0.3"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</row>
    <row r="65" spans="4:21" x14ac:dyDescent="0.3"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</row>
    <row r="66" spans="4:21" x14ac:dyDescent="0.3"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</row>
  </sheetData>
  <mergeCells count="2">
    <mergeCell ref="A6:A13"/>
    <mergeCell ref="A14:A2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F8756-FBF5-41DB-97C5-268DD40FA88E}">
  <sheetPr codeName="Planilha10"/>
  <dimension ref="A2:AF46"/>
  <sheetViews>
    <sheetView workbookViewId="0">
      <pane xSplit="3" ySplit="3" topLeftCell="M25" activePane="bottomRight" state="frozen"/>
      <selection activeCell="C22" sqref="C22"/>
      <selection pane="topRight" activeCell="C22" sqref="C22"/>
      <selection pane="bottomLeft" activeCell="C22" sqref="C22"/>
      <selection pane="bottomRight" activeCell="AF32" sqref="AF32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31" width="8.33203125" customWidth="1"/>
  </cols>
  <sheetData>
    <row r="2" spans="1:32" x14ac:dyDescent="0.3">
      <c r="AB2" s="104" t="s">
        <v>102</v>
      </c>
      <c r="AC2" s="104"/>
      <c r="AD2" s="104"/>
      <c r="AE2" s="104"/>
    </row>
    <row r="3" spans="1:32" s="10" customFormat="1" x14ac:dyDescent="0.3">
      <c r="A3" s="9" t="s">
        <v>25</v>
      </c>
      <c r="B3" s="8" t="s">
        <v>23</v>
      </c>
      <c r="C3" s="9" t="s">
        <v>24</v>
      </c>
      <c r="D3" s="8">
        <v>94</v>
      </c>
      <c r="E3" s="8">
        <v>95</v>
      </c>
      <c r="F3" s="8">
        <v>96</v>
      </c>
      <c r="G3" s="8">
        <v>97</v>
      </c>
      <c r="H3" s="8">
        <v>98</v>
      </c>
      <c r="I3" s="8">
        <v>99</v>
      </c>
      <c r="J3" s="8">
        <v>2000</v>
      </c>
      <c r="K3" s="8">
        <v>1</v>
      </c>
      <c r="L3" s="8">
        <v>2</v>
      </c>
      <c r="M3" s="8">
        <v>3</v>
      </c>
      <c r="N3" s="8">
        <v>4</v>
      </c>
      <c r="O3" s="8">
        <v>5</v>
      </c>
      <c r="P3" s="8">
        <v>6</v>
      </c>
      <c r="Q3" s="8">
        <v>7</v>
      </c>
      <c r="R3" s="8">
        <v>8</v>
      </c>
      <c r="S3" s="8">
        <v>9</v>
      </c>
      <c r="T3" s="8">
        <v>10</v>
      </c>
      <c r="U3" s="8">
        <v>11</v>
      </c>
      <c r="V3" s="8">
        <v>12</v>
      </c>
      <c r="W3" s="8">
        <v>13</v>
      </c>
      <c r="X3" s="8">
        <v>14</v>
      </c>
      <c r="Y3" s="8">
        <v>15</v>
      </c>
      <c r="Z3" s="8">
        <v>16</v>
      </c>
      <c r="AA3" s="8">
        <v>17</v>
      </c>
      <c r="AB3" s="8">
        <v>18</v>
      </c>
      <c r="AC3" s="8">
        <v>19</v>
      </c>
      <c r="AD3" s="8">
        <v>20</v>
      </c>
      <c r="AE3" s="8" t="s">
        <v>3</v>
      </c>
      <c r="AF3" s="8" t="s">
        <v>94</v>
      </c>
    </row>
    <row r="4" spans="1:32" x14ac:dyDescent="0.3">
      <c r="A4" s="4" t="s">
        <v>5</v>
      </c>
      <c r="B4" s="11">
        <v>1</v>
      </c>
      <c r="C4" s="6" t="s">
        <v>4</v>
      </c>
      <c r="D4" s="19">
        <v>5.09</v>
      </c>
      <c r="E4" s="19">
        <v>3.87</v>
      </c>
      <c r="F4" s="19">
        <v>5.24</v>
      </c>
      <c r="G4" s="19">
        <v>6.36</v>
      </c>
      <c r="H4" s="19">
        <v>4.99</v>
      </c>
      <c r="I4" s="19">
        <v>3.41</v>
      </c>
      <c r="J4" s="19">
        <v>3.5</v>
      </c>
      <c r="K4" s="19">
        <v>4.0199999999999996</v>
      </c>
      <c r="L4" s="19">
        <v>0.45</v>
      </c>
      <c r="M4" s="19">
        <v>4.5</v>
      </c>
      <c r="N4" s="19">
        <v>7.66</v>
      </c>
      <c r="O4" s="19">
        <v>7.66</v>
      </c>
      <c r="P4" s="19">
        <v>7.68</v>
      </c>
      <c r="Q4" s="19">
        <v>7.48</v>
      </c>
      <c r="R4" s="19">
        <v>7.48</v>
      </c>
      <c r="S4" s="19">
        <v>13</v>
      </c>
      <c r="T4" s="19">
        <v>5.51</v>
      </c>
      <c r="U4" s="19">
        <v>20</v>
      </c>
      <c r="V4" s="19">
        <v>22</v>
      </c>
      <c r="W4" s="19">
        <v>51</v>
      </c>
      <c r="X4" s="19">
        <v>61</v>
      </c>
      <c r="Y4" s="19">
        <v>56</v>
      </c>
      <c r="Z4" s="19">
        <v>29</v>
      </c>
      <c r="AA4" s="19">
        <v>40.5</v>
      </c>
      <c r="AB4" s="19">
        <v>41.8</v>
      </c>
      <c r="AC4" s="19">
        <v>32</v>
      </c>
      <c r="AD4" s="19">
        <v>27.4</v>
      </c>
      <c r="AE4" s="19">
        <v>27.2</v>
      </c>
      <c r="AF4" s="1">
        <v>27</v>
      </c>
    </row>
    <row r="5" spans="1:32" x14ac:dyDescent="0.3">
      <c r="A5" s="5" t="s">
        <v>8</v>
      </c>
      <c r="B5" s="12">
        <v>3</v>
      </c>
      <c r="C5" s="1" t="s">
        <v>86</v>
      </c>
      <c r="D5" s="3"/>
      <c r="E5" s="3"/>
      <c r="F5" s="3"/>
      <c r="G5" s="3"/>
      <c r="H5" s="3"/>
      <c r="I5" s="50">
        <v>1.8</v>
      </c>
      <c r="J5" s="50">
        <v>1.8</v>
      </c>
      <c r="K5" s="50">
        <v>1.8</v>
      </c>
      <c r="L5" s="50">
        <v>1.8</v>
      </c>
      <c r="M5" s="50">
        <v>1.8</v>
      </c>
      <c r="N5" s="50">
        <v>1.8</v>
      </c>
      <c r="O5" s="50">
        <v>1.8</v>
      </c>
      <c r="P5" s="50">
        <v>1.8</v>
      </c>
      <c r="Q5" s="50">
        <v>1.8</v>
      </c>
      <c r="R5" s="50">
        <v>1.8</v>
      </c>
      <c r="S5" s="50">
        <v>1.8</v>
      </c>
      <c r="T5" s="50">
        <v>1.8</v>
      </c>
      <c r="U5" s="50">
        <v>1.8</v>
      </c>
      <c r="V5" s="50">
        <v>1.8</v>
      </c>
      <c r="W5" s="50">
        <v>1.8</v>
      </c>
      <c r="X5" s="50">
        <v>1.8</v>
      </c>
      <c r="Y5" s="50">
        <v>1.8</v>
      </c>
      <c r="Z5" s="50">
        <v>1.8</v>
      </c>
      <c r="AA5" s="50">
        <v>1.8</v>
      </c>
      <c r="AB5" s="50">
        <v>2.1551</v>
      </c>
      <c r="AC5" s="50">
        <v>2.16</v>
      </c>
      <c r="AD5" s="50">
        <v>2.1551</v>
      </c>
      <c r="AE5" s="50">
        <v>2.1551</v>
      </c>
      <c r="AF5" s="50">
        <v>2.1551</v>
      </c>
    </row>
    <row r="6" spans="1:32" x14ac:dyDescent="0.3">
      <c r="A6" s="101" t="s">
        <v>7</v>
      </c>
      <c r="B6" s="13">
        <v>4</v>
      </c>
      <c r="C6" s="6" t="s">
        <v>104</v>
      </c>
      <c r="D6" s="7"/>
      <c r="E6" s="7"/>
      <c r="F6" s="7"/>
      <c r="G6" s="7"/>
      <c r="H6" s="7"/>
      <c r="I6" s="7">
        <v>58.640839999999997</v>
      </c>
      <c r="J6" s="7">
        <v>68.038038999999998</v>
      </c>
      <c r="K6" s="7">
        <v>64.898791000000003</v>
      </c>
      <c r="L6" s="7">
        <v>47.693649999999998</v>
      </c>
      <c r="M6" s="7">
        <v>50.335354000000002</v>
      </c>
      <c r="N6" s="7">
        <v>74</v>
      </c>
      <c r="O6" s="7">
        <v>98.469218999999995</v>
      </c>
      <c r="P6" s="7">
        <v>131.59647899999999</v>
      </c>
      <c r="Q6" s="7">
        <v>113.179739</v>
      </c>
      <c r="R6" s="7">
        <v>203.328</v>
      </c>
      <c r="S6" s="7">
        <v>260.411</v>
      </c>
      <c r="T6" s="7">
        <v>251.85499999999999</v>
      </c>
      <c r="U6" s="7">
        <v>238.11230900000001</v>
      </c>
      <c r="V6" s="7">
        <v>230.409232</v>
      </c>
      <c r="W6" s="7">
        <v>208.468524</v>
      </c>
      <c r="X6" s="7">
        <v>208.81540200000001</v>
      </c>
      <c r="Y6" s="7">
        <v>196.17266000000001</v>
      </c>
      <c r="Z6" s="7">
        <v>146.20865499999999</v>
      </c>
      <c r="AA6" s="7">
        <v>140.5</v>
      </c>
      <c r="AB6" s="7">
        <v>124.6</v>
      </c>
      <c r="AC6" s="7">
        <v>154.80000000000001</v>
      </c>
      <c r="AD6" s="7">
        <v>124</v>
      </c>
      <c r="AE6" s="7"/>
      <c r="AF6" s="1"/>
    </row>
    <row r="7" spans="1:32" x14ac:dyDescent="0.3">
      <c r="A7" s="101"/>
      <c r="B7" s="13">
        <v>5</v>
      </c>
      <c r="C7" s="1" t="s">
        <v>9</v>
      </c>
      <c r="D7" s="3"/>
      <c r="E7" s="3"/>
      <c r="F7" s="3"/>
      <c r="G7" s="3"/>
      <c r="H7" s="3"/>
      <c r="I7" s="3">
        <v>3.7964099999999998</v>
      </c>
      <c r="J7" s="3">
        <v>5.8718320000000004</v>
      </c>
      <c r="K7" s="3">
        <v>4.520162</v>
      </c>
      <c r="L7" s="3">
        <v>-3.4461729999999999</v>
      </c>
      <c r="M7" s="3">
        <v>3.578576</v>
      </c>
      <c r="N7" s="3">
        <v>6</v>
      </c>
      <c r="O7" s="3">
        <v>8.3699999999999992</v>
      </c>
      <c r="P7" s="3">
        <v>16.09</v>
      </c>
      <c r="Q7" s="3">
        <v>23.112362000000001</v>
      </c>
      <c r="R7" s="3">
        <v>52.254579</v>
      </c>
      <c r="S7" s="3">
        <v>64.662000000000006</v>
      </c>
      <c r="T7" s="3">
        <v>74.745000000000005</v>
      </c>
      <c r="U7" s="7">
        <v>53.377009999999999</v>
      </c>
      <c r="V7" s="7">
        <v>63.530830999999999</v>
      </c>
      <c r="W7" s="3">
        <v>70.867200999999994</v>
      </c>
      <c r="X7" s="3">
        <v>63.540439999999997</v>
      </c>
      <c r="Y7" s="3">
        <v>35.554729999999999</v>
      </c>
      <c r="Z7" s="3">
        <v>29.127561</v>
      </c>
      <c r="AA7" s="3">
        <v>41</v>
      </c>
      <c r="AB7" s="3">
        <v>35</v>
      </c>
      <c r="AC7" s="3">
        <v>29</v>
      </c>
      <c r="AD7" s="3">
        <v>10.7</v>
      </c>
      <c r="AE7" s="3"/>
      <c r="AF7" s="1"/>
    </row>
    <row r="8" spans="1:32" x14ac:dyDescent="0.3">
      <c r="A8" s="101"/>
      <c r="B8" s="13">
        <v>6</v>
      </c>
      <c r="C8" s="6" t="s">
        <v>10</v>
      </c>
      <c r="D8" s="7"/>
      <c r="E8" s="7"/>
      <c r="F8" s="7"/>
      <c r="G8" s="7"/>
      <c r="H8" s="7"/>
      <c r="I8" s="7">
        <v>0.66571999999999998</v>
      </c>
      <c r="J8" s="7">
        <v>3.3402940000000001</v>
      </c>
      <c r="K8" s="7">
        <v>2.5861610000000002</v>
      </c>
      <c r="L8" s="7">
        <v>-4.8580350000000001</v>
      </c>
      <c r="M8" s="7">
        <v>2.0343040000000001</v>
      </c>
      <c r="N8" s="7">
        <v>2.5</v>
      </c>
      <c r="O8" s="7">
        <v>3.214448</v>
      </c>
      <c r="P8" s="7">
        <v>10.261224</v>
      </c>
      <c r="Q8" s="3">
        <v>17.818325000000002</v>
      </c>
      <c r="R8" s="7">
        <v>44.606355999999998</v>
      </c>
      <c r="S8" s="7">
        <v>56.307082999999999</v>
      </c>
      <c r="T8" s="7">
        <v>64.325856000000002</v>
      </c>
      <c r="U8" s="7">
        <v>43.816963000000001</v>
      </c>
      <c r="V8" s="7">
        <v>54.849229000000001</v>
      </c>
      <c r="W8" s="7">
        <v>64.450040000000001</v>
      </c>
      <c r="X8" s="7">
        <v>53.690317999999998</v>
      </c>
      <c r="Y8" s="7">
        <v>24.030553000000001</v>
      </c>
      <c r="Z8" s="7">
        <v>19.806798000000001</v>
      </c>
      <c r="AA8" s="7">
        <v>24.1</v>
      </c>
      <c r="AB8" s="7">
        <v>19.2</v>
      </c>
      <c r="AC8" s="7">
        <v>15.8</v>
      </c>
      <c r="AD8" s="7">
        <v>6.6</v>
      </c>
      <c r="AE8" s="7"/>
      <c r="AF8" s="1"/>
    </row>
    <row r="9" spans="1:32" x14ac:dyDescent="0.3">
      <c r="A9" s="101"/>
      <c r="B9" s="13">
        <v>11</v>
      </c>
      <c r="C9" s="1" t="s">
        <v>11</v>
      </c>
      <c r="D9" s="3"/>
      <c r="E9" s="3"/>
      <c r="F9" s="3"/>
      <c r="G9" s="3"/>
      <c r="H9" s="3"/>
      <c r="I9" s="3">
        <v>0.39724999999999999</v>
      </c>
      <c r="J9" s="3">
        <v>-1.03867</v>
      </c>
      <c r="K9" s="3">
        <v>-0.41139599999999998</v>
      </c>
      <c r="L9" s="3">
        <v>-0.72909599999999997</v>
      </c>
      <c r="M9" s="3">
        <v>-0.89417800000000003</v>
      </c>
      <c r="N9" s="3">
        <v>-1.1000000000000001</v>
      </c>
      <c r="O9" s="3">
        <v>3.072702</v>
      </c>
      <c r="P9" s="3">
        <v>-4.444089</v>
      </c>
      <c r="Q9" s="3">
        <v>-5.8675639999999998</v>
      </c>
      <c r="R9" s="3">
        <v>-1.334006</v>
      </c>
      <c r="S9" s="3">
        <f>S10-S8</f>
        <v>-0.64274400000000043</v>
      </c>
      <c r="T9" s="3">
        <f>T10-T8</f>
        <v>-2.4939040000000006</v>
      </c>
      <c r="U9" s="3">
        <v>-6.9735639999999997</v>
      </c>
      <c r="V9" s="3">
        <v>-6.5741209999999999</v>
      </c>
      <c r="W9" s="3">
        <v>-5.0339999999999998</v>
      </c>
      <c r="X9" s="3">
        <v>-8.1591529999999999</v>
      </c>
      <c r="Y9" s="3">
        <v>-14.222512</v>
      </c>
      <c r="Z9" s="3">
        <v>-12.864737999999999</v>
      </c>
      <c r="AA9" s="3">
        <v>-10.6</v>
      </c>
      <c r="AB9" s="3">
        <v>-5.8</v>
      </c>
      <c r="AC9" s="3">
        <v>-3.4</v>
      </c>
      <c r="AD9" s="3">
        <v>-2.6</v>
      </c>
      <c r="AE9" s="3"/>
      <c r="AF9" s="1"/>
    </row>
    <row r="10" spans="1:32" x14ac:dyDescent="0.3">
      <c r="A10" s="101"/>
      <c r="B10" s="13">
        <v>12</v>
      </c>
      <c r="C10" s="6" t="s">
        <v>12</v>
      </c>
      <c r="D10" s="7"/>
      <c r="E10" s="7"/>
      <c r="F10" s="7"/>
      <c r="G10" s="7"/>
      <c r="H10" s="7"/>
      <c r="I10" s="7">
        <v>1.0844750000000001</v>
      </c>
      <c r="J10" s="7">
        <v>2.286114</v>
      </c>
      <c r="K10" s="7">
        <v>2.2182430000000002</v>
      </c>
      <c r="L10" s="7">
        <v>1.546384</v>
      </c>
      <c r="M10" s="7">
        <v>1.140593</v>
      </c>
      <c r="N10" s="7">
        <v>2.2999999999999998</v>
      </c>
      <c r="O10" s="7">
        <v>6.2871499999999996</v>
      </c>
      <c r="P10" s="7">
        <v>5.0570389999999996</v>
      </c>
      <c r="Q10" s="7">
        <v>12.503757999999999</v>
      </c>
      <c r="R10" s="7">
        <v>43.130127999999999</v>
      </c>
      <c r="S10" s="7">
        <v>55.664338999999998</v>
      </c>
      <c r="T10" s="7">
        <v>61.831952000000001</v>
      </c>
      <c r="U10" s="7">
        <v>36.843398999999998</v>
      </c>
      <c r="V10" s="7">
        <v>48.275108000000003</v>
      </c>
      <c r="W10" s="7">
        <v>59.416038999999998</v>
      </c>
      <c r="X10" s="7">
        <v>45.531165000000001</v>
      </c>
      <c r="Y10" s="7">
        <v>9.8080409999999993</v>
      </c>
      <c r="Z10" s="7">
        <v>6.9420599999999997</v>
      </c>
      <c r="AA10" s="7">
        <v>12.9</v>
      </c>
      <c r="AB10" s="7">
        <v>12.8</v>
      </c>
      <c r="AC10" s="7">
        <v>11.9</v>
      </c>
      <c r="AD10" s="7">
        <v>3.3</v>
      </c>
      <c r="AE10" s="7"/>
      <c r="AF10" s="1"/>
    </row>
    <row r="11" spans="1:32" x14ac:dyDescent="0.3">
      <c r="A11" s="101"/>
      <c r="B11" s="13">
        <v>13</v>
      </c>
      <c r="C11" s="1" t="s">
        <v>13</v>
      </c>
      <c r="D11" s="3"/>
      <c r="E11" s="3"/>
      <c r="F11" s="3"/>
      <c r="G11" s="3"/>
      <c r="H11" s="3"/>
      <c r="I11" s="3">
        <v>0.31225999999999998</v>
      </c>
      <c r="J11" s="3">
        <v>0.92452999999999996</v>
      </c>
      <c r="K11" s="3">
        <v>0.90276500000000004</v>
      </c>
      <c r="L11" s="3">
        <v>0.72142600000000001</v>
      </c>
      <c r="M11" s="3">
        <v>0.54061499999999996</v>
      </c>
      <c r="N11" s="3">
        <v>1</v>
      </c>
      <c r="O11" s="3">
        <v>2.7459989999999999</v>
      </c>
      <c r="P11" s="3">
        <v>3.1231529999999998</v>
      </c>
      <c r="Q11" s="3">
        <v>5.4367979999999996</v>
      </c>
      <c r="R11" s="3">
        <v>16.763188</v>
      </c>
      <c r="S11" s="3">
        <v>18.378796999999999</v>
      </c>
      <c r="T11" s="3">
        <v>27.637923000000001</v>
      </c>
      <c r="U11" s="3">
        <v>17.051183000000002</v>
      </c>
      <c r="V11" s="3">
        <v>24.915863000000002</v>
      </c>
      <c r="W11" s="3">
        <v>22.934315999999999</v>
      </c>
      <c r="X11" s="3">
        <v>16.024024000000001</v>
      </c>
      <c r="Y11" s="3">
        <v>3.6526550000000002</v>
      </c>
      <c r="Z11" s="3">
        <v>2.6980439999999999</v>
      </c>
      <c r="AA11" s="3">
        <v>5.9</v>
      </c>
      <c r="AB11" s="3">
        <v>9.6999999999999993</v>
      </c>
      <c r="AC11" s="3">
        <v>9.5</v>
      </c>
      <c r="AD11" s="3">
        <v>2.1</v>
      </c>
      <c r="AE11" s="3"/>
      <c r="AF11" s="1"/>
    </row>
    <row r="12" spans="1:32" x14ac:dyDescent="0.3">
      <c r="A12" s="101"/>
      <c r="B12" s="13">
        <v>14</v>
      </c>
      <c r="C12" s="6" t="s">
        <v>105</v>
      </c>
      <c r="D12" s="7"/>
      <c r="E12" s="7"/>
      <c r="F12" s="7"/>
      <c r="G12" s="7"/>
      <c r="H12" s="7"/>
      <c r="I12" s="7">
        <v>0.107308</v>
      </c>
      <c r="J12" s="7">
        <v>1.2288239999999999</v>
      </c>
      <c r="K12" s="7">
        <v>1.1455789999999999</v>
      </c>
      <c r="L12" s="7">
        <v>0.79943799999999998</v>
      </c>
      <c r="M12" s="7">
        <v>0.597333</v>
      </c>
      <c r="N12" s="7">
        <v>1</v>
      </c>
      <c r="O12" s="7">
        <v>3.6263079999999999</v>
      </c>
      <c r="P12" s="7">
        <v>1.89175</v>
      </c>
      <c r="Q12" s="7">
        <v>6.9837290000000003</v>
      </c>
      <c r="R12" s="7">
        <v>26.313428999999999</v>
      </c>
      <c r="S12" s="7">
        <v>37.198726000000001</v>
      </c>
      <c r="T12" s="7">
        <v>34.116396999999999</v>
      </c>
      <c r="U12" s="7">
        <v>19.983488999999999</v>
      </c>
      <c r="V12" s="7">
        <v>23.671247999999999</v>
      </c>
      <c r="W12" s="7">
        <v>36.459622000000003</v>
      </c>
      <c r="X12" s="7">
        <v>29.472732000000001</v>
      </c>
      <c r="Y12" s="7">
        <v>6.1516799999999998</v>
      </c>
      <c r="Z12" s="7">
        <v>4.2368180000000004</v>
      </c>
      <c r="AA12" s="7">
        <v>7</v>
      </c>
      <c r="AB12" s="7">
        <v>3</v>
      </c>
      <c r="AC12" s="7">
        <v>2.5</v>
      </c>
      <c r="AD12" s="7">
        <v>1.1000000000000001</v>
      </c>
      <c r="AE12" s="7"/>
      <c r="AF12" s="1"/>
    </row>
    <row r="13" spans="1:32" x14ac:dyDescent="0.3">
      <c r="A13" s="101"/>
      <c r="B13" s="13">
        <v>2</v>
      </c>
      <c r="C13" s="1" t="s">
        <v>15</v>
      </c>
      <c r="D13" s="3"/>
      <c r="E13" s="3"/>
      <c r="F13" s="3"/>
      <c r="G13" s="3"/>
      <c r="H13" s="3"/>
      <c r="I13" s="22">
        <v>0</v>
      </c>
      <c r="J13" s="22">
        <v>0</v>
      </c>
      <c r="K13" s="22">
        <v>0.16500000000000001</v>
      </c>
      <c r="L13" s="22">
        <v>0.17</v>
      </c>
      <c r="M13" s="22">
        <v>0.11</v>
      </c>
      <c r="N13" s="22">
        <v>0.14000000000000001</v>
      </c>
      <c r="O13" s="22">
        <v>0.17</v>
      </c>
      <c r="P13" s="22">
        <v>0.2</v>
      </c>
      <c r="Q13" s="22">
        <v>0.4</v>
      </c>
      <c r="R13" s="22">
        <v>2</v>
      </c>
      <c r="S13" s="22">
        <v>2</v>
      </c>
      <c r="T13" s="22">
        <v>1.5</v>
      </c>
      <c r="U13" s="22">
        <v>1</v>
      </c>
      <c r="V13" s="22">
        <v>1.5</v>
      </c>
      <c r="W13" s="22">
        <v>3</v>
      </c>
      <c r="X13" s="22">
        <v>2</v>
      </c>
      <c r="Y13" s="22">
        <v>0.5</v>
      </c>
      <c r="Z13" s="22">
        <v>0.5</v>
      </c>
      <c r="AA13" s="22">
        <v>1.5</v>
      </c>
      <c r="AB13" s="43">
        <v>0</v>
      </c>
      <c r="AC13" s="43">
        <v>0</v>
      </c>
      <c r="AD13" s="43">
        <v>0</v>
      </c>
      <c r="AE13" s="43">
        <v>0</v>
      </c>
      <c r="AF13" s="1"/>
    </row>
    <row r="14" spans="1:32" x14ac:dyDescent="0.3">
      <c r="A14" s="102" t="s">
        <v>14</v>
      </c>
      <c r="B14" s="14">
        <v>8</v>
      </c>
      <c r="C14" s="6" t="s">
        <v>16</v>
      </c>
      <c r="D14" s="7"/>
      <c r="E14" s="7"/>
      <c r="F14" s="7"/>
      <c r="G14" s="7"/>
      <c r="H14" s="7"/>
      <c r="I14" s="7">
        <v>0.29224</v>
      </c>
      <c r="J14" s="7">
        <v>0.324799</v>
      </c>
      <c r="K14" s="7">
        <v>2.3403659999999999</v>
      </c>
      <c r="L14" s="7">
        <v>1.3280209999999999</v>
      </c>
      <c r="M14" s="7">
        <v>2.9636689999999999</v>
      </c>
      <c r="N14" s="7">
        <v>4.75</v>
      </c>
      <c r="O14" s="7">
        <v>6.5008790000000003</v>
      </c>
      <c r="P14" s="7">
        <v>7.8572579999999999</v>
      </c>
      <c r="Q14" s="7">
        <v>22.635237</v>
      </c>
      <c r="R14" s="7">
        <v>76.862943000000001</v>
      </c>
      <c r="S14" s="7">
        <v>22.068753000000001</v>
      </c>
      <c r="T14" s="7">
        <v>17.423504999999999</v>
      </c>
      <c r="U14" s="7">
        <v>44.435305</v>
      </c>
      <c r="V14" s="7">
        <v>65.38</v>
      </c>
      <c r="W14" s="7">
        <v>38.461734</v>
      </c>
      <c r="X14" s="7">
        <v>118.11156</v>
      </c>
      <c r="Y14" s="7">
        <v>132.20519999999999</v>
      </c>
      <c r="Z14" s="7">
        <v>95.861987999999997</v>
      </c>
      <c r="AA14" s="7">
        <v>90.6</v>
      </c>
      <c r="AB14" s="7">
        <v>12.2</v>
      </c>
      <c r="AC14" s="7">
        <v>10.199999999999999</v>
      </c>
      <c r="AD14" s="7">
        <v>8.8000000000000007</v>
      </c>
      <c r="AE14" s="7"/>
      <c r="AF14" s="1"/>
    </row>
    <row r="15" spans="1:32" x14ac:dyDescent="0.3">
      <c r="A15" s="103"/>
      <c r="B15" s="14">
        <v>7</v>
      </c>
      <c r="C15" s="1" t="s">
        <v>17</v>
      </c>
      <c r="D15" s="3"/>
      <c r="E15" s="3"/>
      <c r="F15" s="3"/>
      <c r="G15" s="3"/>
      <c r="H15" s="3"/>
      <c r="I15" s="3">
        <v>17.603770000000001</v>
      </c>
      <c r="J15" s="3">
        <v>26.306514</v>
      </c>
      <c r="K15" s="3">
        <v>27.252286000000002</v>
      </c>
      <c r="L15" s="3">
        <v>25.317723000000001</v>
      </c>
      <c r="M15" s="3">
        <v>17.410537999999999</v>
      </c>
      <c r="N15" s="3">
        <v>17.5</v>
      </c>
      <c r="O15" s="3">
        <v>17.846382999999999</v>
      </c>
      <c r="P15" s="3">
        <v>23.951784</v>
      </c>
      <c r="Q15" s="3">
        <v>14.977755</v>
      </c>
      <c r="R15" s="3">
        <v>10.161384999999999</v>
      </c>
      <c r="S15" s="3">
        <v>17.579678000000001</v>
      </c>
      <c r="T15" s="3">
        <v>19.376947000000001</v>
      </c>
      <c r="U15" s="3">
        <v>50.782798999999997</v>
      </c>
      <c r="V15" s="3">
        <v>48.839756000000001</v>
      </c>
      <c r="W15" s="3">
        <v>32.084625000000003</v>
      </c>
      <c r="X15" s="3">
        <v>128.88083</v>
      </c>
      <c r="Y15" s="3">
        <v>156.76951</v>
      </c>
      <c r="Z15" s="3">
        <v>131.38</v>
      </c>
      <c r="AA15" s="3">
        <v>114.4</v>
      </c>
      <c r="AB15" s="3">
        <v>47.6</v>
      </c>
      <c r="AC15" s="3">
        <v>66.7</v>
      </c>
      <c r="AD15" s="3">
        <v>79.900000000000006</v>
      </c>
      <c r="AE15" s="3"/>
      <c r="AF15" s="1"/>
    </row>
    <row r="16" spans="1:32" x14ac:dyDescent="0.3">
      <c r="A16" s="103"/>
      <c r="B16" s="14">
        <v>9</v>
      </c>
      <c r="C16" s="6" t="s">
        <v>92</v>
      </c>
      <c r="D16" s="7"/>
      <c r="E16" s="7"/>
      <c r="F16" s="7"/>
      <c r="G16" s="7"/>
      <c r="H16" s="7"/>
      <c r="I16" s="7">
        <v>0.13969500000000001</v>
      </c>
      <c r="J16" s="7">
        <v>0.24096400000000001</v>
      </c>
      <c r="K16" s="7">
        <v>0.49845</v>
      </c>
      <c r="L16" s="7">
        <v>0.64003299999999996</v>
      </c>
      <c r="M16" s="7">
        <v>0.222605</v>
      </c>
      <c r="N16" s="7">
        <v>0</v>
      </c>
      <c r="O16" s="7">
        <v>0.269007</v>
      </c>
      <c r="P16" s="7">
        <v>0.25885399999999997</v>
      </c>
      <c r="Q16" s="7">
        <v>0</v>
      </c>
      <c r="R16" s="7">
        <v>0</v>
      </c>
      <c r="S16" s="7">
        <v>0.39004899999999998</v>
      </c>
      <c r="T16" s="7">
        <v>0.51866000000000001</v>
      </c>
      <c r="U16" s="7">
        <v>0.42291200000000001</v>
      </c>
      <c r="V16" s="7">
        <v>0.100314</v>
      </c>
      <c r="W16" s="7">
        <v>0.12598100000000001</v>
      </c>
      <c r="X16" s="7">
        <v>0.156005</v>
      </c>
      <c r="Y16" s="7">
        <v>0.13469900000000001</v>
      </c>
      <c r="Z16" s="7">
        <v>0.11322500000000001</v>
      </c>
      <c r="AA16" s="7">
        <v>0.123028</v>
      </c>
      <c r="AB16" s="7">
        <v>0.123028</v>
      </c>
      <c r="AC16" s="7">
        <v>0.123028</v>
      </c>
      <c r="AD16" s="7">
        <v>0.123028</v>
      </c>
      <c r="AE16" s="7">
        <v>0.123028</v>
      </c>
      <c r="AF16" s="1"/>
    </row>
    <row r="17" spans="1:32" x14ac:dyDescent="0.3">
      <c r="A17" s="103"/>
      <c r="B17" s="14">
        <v>10</v>
      </c>
      <c r="C17" s="1" t="s">
        <v>18</v>
      </c>
      <c r="D17" s="3"/>
      <c r="E17" s="3"/>
      <c r="F17" s="3"/>
      <c r="G17" s="3"/>
      <c r="H17" s="3"/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1"/>
    </row>
    <row r="18" spans="1:32" x14ac:dyDescent="0.3">
      <c r="A18" s="103"/>
      <c r="B18" s="14">
        <v>15</v>
      </c>
      <c r="C18" s="6" t="s">
        <v>19</v>
      </c>
      <c r="D18" s="7"/>
      <c r="E18" s="7"/>
      <c r="F18" s="7"/>
      <c r="G18" s="7"/>
      <c r="H18" s="7"/>
      <c r="I18" s="7">
        <v>54.129004999999999</v>
      </c>
      <c r="J18" s="7">
        <v>57.172919999999998</v>
      </c>
      <c r="K18" s="7">
        <v>59.888876000000003</v>
      </c>
      <c r="L18" s="7">
        <v>50.248919000000001</v>
      </c>
      <c r="M18" s="7">
        <v>45.856974999999998</v>
      </c>
      <c r="N18" s="7">
        <v>65</v>
      </c>
      <c r="O18" s="7">
        <v>84.441024999999996</v>
      </c>
      <c r="P18" s="7">
        <v>92.482946999999996</v>
      </c>
      <c r="Q18" s="7">
        <v>110.47353200000001</v>
      </c>
      <c r="R18" s="7">
        <v>157.891797</v>
      </c>
      <c r="S18" s="7">
        <v>208.95693299999999</v>
      </c>
      <c r="T18" s="7">
        <v>238.03330399999999</v>
      </c>
      <c r="U18" s="7">
        <v>271.90630599999997</v>
      </c>
      <c r="V18" s="7">
        <v>221.514094</v>
      </c>
      <c r="W18" s="7">
        <v>200.444188</v>
      </c>
      <c r="X18" s="7">
        <v>289.64233300000001</v>
      </c>
      <c r="Y18" s="7">
        <v>280.96613300000001</v>
      </c>
      <c r="Z18" s="7">
        <v>227.39787200000001</v>
      </c>
      <c r="AA18" s="7">
        <v>238.2</v>
      </c>
      <c r="AB18" s="7">
        <v>134.1</v>
      </c>
      <c r="AC18" s="7">
        <v>161.69999999999999</v>
      </c>
      <c r="AD18" s="7">
        <v>198.8</v>
      </c>
      <c r="AE18" s="7"/>
      <c r="AF18" s="1"/>
    </row>
    <row r="19" spans="1:32" x14ac:dyDescent="0.3">
      <c r="A19" s="103"/>
      <c r="B19" s="14">
        <v>18</v>
      </c>
      <c r="C19" s="1" t="s">
        <v>21</v>
      </c>
      <c r="D19" s="3"/>
      <c r="E19" s="3"/>
      <c r="F19" s="3"/>
      <c r="G19" s="3"/>
      <c r="H19" s="3"/>
      <c r="I19" s="3">
        <v>49.439729999999997</v>
      </c>
      <c r="J19" s="3">
        <v>47.267515000000003</v>
      </c>
      <c r="K19" s="3">
        <v>43.781264999999998</v>
      </c>
      <c r="L19" s="3">
        <v>36.110394999999997</v>
      </c>
      <c r="M19" s="3">
        <v>39.588042000000002</v>
      </c>
      <c r="N19" s="3">
        <v>52</v>
      </c>
      <c r="O19" s="3">
        <v>64.568117999999998</v>
      </c>
      <c r="P19" s="3">
        <v>70.685541999999998</v>
      </c>
      <c r="Q19" s="3">
        <v>75.997170999999994</v>
      </c>
      <c r="R19" s="3">
        <v>94.722268</v>
      </c>
      <c r="S19" s="3">
        <v>190.71144000000001</v>
      </c>
      <c r="T19" s="3">
        <v>221.26218600000001</v>
      </c>
      <c r="U19" s="3">
        <v>255.98826500000001</v>
      </c>
      <c r="V19" s="3">
        <v>209.724726</v>
      </c>
      <c r="W19" s="3">
        <v>180.303651</v>
      </c>
      <c r="X19" s="3">
        <v>264.164624</v>
      </c>
      <c r="Y19" s="3">
        <v>205.98383999999999</v>
      </c>
      <c r="Z19" s="3">
        <v>160.04196099999999</v>
      </c>
      <c r="AA19" s="7">
        <v>175.5</v>
      </c>
      <c r="AB19" s="7">
        <v>95.2</v>
      </c>
      <c r="AC19" s="7">
        <v>115.4</v>
      </c>
      <c r="AD19" s="3">
        <v>131.1</v>
      </c>
      <c r="AE19" s="3"/>
      <c r="AF19" s="1"/>
    </row>
    <row r="20" spans="1:32" x14ac:dyDescent="0.3">
      <c r="A20" s="103"/>
      <c r="B20" s="14">
        <v>17</v>
      </c>
      <c r="C20" s="6" t="s">
        <v>22</v>
      </c>
      <c r="D20" s="7"/>
      <c r="E20" s="7"/>
      <c r="F20" s="7"/>
      <c r="G20" s="7"/>
      <c r="H20" s="7"/>
      <c r="I20" s="7">
        <v>49.366495</v>
      </c>
      <c r="J20" s="7">
        <v>53.470665400000001</v>
      </c>
      <c r="K20" s="7">
        <v>54.135334499999999</v>
      </c>
      <c r="L20" s="7">
        <v>55.8</v>
      </c>
      <c r="M20" s="7">
        <v>51.687809999999999</v>
      </c>
      <c r="N20" s="7">
        <v>62</v>
      </c>
      <c r="O20" s="7">
        <v>71.614627999999996</v>
      </c>
      <c r="P20" s="7">
        <v>86.374324000000001</v>
      </c>
      <c r="Q20" s="3">
        <v>117.47586</v>
      </c>
      <c r="R20" s="3">
        <v>174.68380999999999</v>
      </c>
      <c r="S20" s="7">
        <v>259.17634399999997</v>
      </c>
      <c r="T20" s="7">
        <v>322.58856100000003</v>
      </c>
      <c r="U20" s="7">
        <v>372.82720899999998</v>
      </c>
      <c r="V20" s="7">
        <v>346.65905199999997</v>
      </c>
      <c r="W20" s="7">
        <v>333.32217100000003</v>
      </c>
      <c r="X20" s="7">
        <v>431.832289</v>
      </c>
      <c r="Y20" s="7">
        <v>396.38121799999999</v>
      </c>
      <c r="Z20" s="7">
        <v>342.72585400000003</v>
      </c>
      <c r="AA20" s="7">
        <v>298.60000000000002</v>
      </c>
      <c r="AB20" s="7">
        <v>196.1</v>
      </c>
      <c r="AC20" s="7">
        <v>212.8</v>
      </c>
      <c r="AD20" s="7">
        <v>206.3</v>
      </c>
      <c r="AE20" s="7"/>
      <c r="AF20" s="1"/>
    </row>
    <row r="21" spans="1:32" x14ac:dyDescent="0.3">
      <c r="A21" s="103"/>
      <c r="B21" s="14">
        <v>19</v>
      </c>
      <c r="C21" s="1" t="s">
        <v>88</v>
      </c>
      <c r="D21" s="3"/>
      <c r="E21" s="3"/>
      <c r="F21" s="3"/>
      <c r="G21" s="3"/>
      <c r="H21" s="3"/>
      <c r="I21" s="3">
        <v>11.434835</v>
      </c>
      <c r="J21" s="3">
        <v>13.737926</v>
      </c>
      <c r="K21" s="3">
        <v>12.041551999999999</v>
      </c>
      <c r="L21" s="3">
        <v>5.7687030000000004</v>
      </c>
      <c r="M21" s="3">
        <v>6.5967359999999999</v>
      </c>
      <c r="N21" s="3">
        <v>8</v>
      </c>
      <c r="O21" s="3">
        <v>8.8882169999999991</v>
      </c>
      <c r="P21" s="3">
        <v>8.7799779999999998</v>
      </c>
      <c r="Q21" s="3">
        <v>7.6955650000000002</v>
      </c>
      <c r="R21" s="3">
        <v>15.209261</v>
      </c>
      <c r="S21" s="3">
        <v>14.158894999999999</v>
      </c>
      <c r="T21" s="3">
        <v>9.5633979999999994</v>
      </c>
      <c r="U21" s="3">
        <v>9.5442269999999994</v>
      </c>
      <c r="V21" s="3">
        <v>10.436645</v>
      </c>
      <c r="W21" s="3">
        <v>12.256907</v>
      </c>
      <c r="X21" s="3">
        <v>13.765279</v>
      </c>
      <c r="Y21" s="3">
        <v>12.666567000000001</v>
      </c>
      <c r="Z21" s="3">
        <v>13.363498999999999</v>
      </c>
      <c r="AA21" s="3">
        <v>11.1</v>
      </c>
      <c r="AB21" s="3">
        <v>13.5</v>
      </c>
      <c r="AC21" s="3">
        <v>12.7</v>
      </c>
      <c r="AD21" s="3">
        <v>13.6</v>
      </c>
      <c r="AE21" s="3"/>
      <c r="AF21" s="1"/>
    </row>
    <row r="22" spans="1:32" x14ac:dyDescent="0.3">
      <c r="A22" s="103"/>
      <c r="B22" s="14">
        <v>20</v>
      </c>
      <c r="C22" s="6" t="s">
        <v>87</v>
      </c>
      <c r="D22" s="7"/>
      <c r="E22" s="7"/>
      <c r="F22" s="7"/>
      <c r="G22" s="7"/>
      <c r="H22" s="7"/>
      <c r="I22" s="7">
        <v>33.757249999999999</v>
      </c>
      <c r="J22" s="7">
        <v>35.185132000000003</v>
      </c>
      <c r="K22" s="7">
        <v>36.430165000000002</v>
      </c>
      <c r="L22" s="7">
        <v>28.879846000000001</v>
      </c>
      <c r="M22" s="7">
        <v>31.416484000000001</v>
      </c>
      <c r="N22" s="7">
        <v>39</v>
      </c>
      <c r="O22" s="7">
        <v>47.791846999999997</v>
      </c>
      <c r="P22" s="7">
        <v>55.604495999999997</v>
      </c>
      <c r="Q22" s="7">
        <v>62.680210000000002</v>
      </c>
      <c r="R22" s="7">
        <v>63.776006000000002</v>
      </c>
      <c r="S22" s="7">
        <v>185.74705299999999</v>
      </c>
      <c r="T22" s="7">
        <v>240.37355400000001</v>
      </c>
      <c r="U22" s="7">
        <v>259.778842</v>
      </c>
      <c r="V22" s="7">
        <v>211.29661200000001</v>
      </c>
      <c r="W22" s="7">
        <v>213.54386099999999</v>
      </c>
      <c r="X22" s="7">
        <v>231.8</v>
      </c>
      <c r="Y22" s="7">
        <v>188.6</v>
      </c>
      <c r="Z22" s="7">
        <v>107.9</v>
      </c>
      <c r="AA22" s="7">
        <v>137.1</v>
      </c>
      <c r="AB22" s="7">
        <v>102.6</v>
      </c>
      <c r="AC22" s="7">
        <v>105.4</v>
      </c>
      <c r="AD22" s="7">
        <v>91.3</v>
      </c>
      <c r="AE22" s="7"/>
      <c r="AF22" s="1"/>
    </row>
    <row r="23" spans="1:32" x14ac:dyDescent="0.3">
      <c r="A23" s="103"/>
      <c r="B23" s="14">
        <v>16</v>
      </c>
      <c r="C23" s="1" t="s">
        <v>20</v>
      </c>
      <c r="D23" s="3"/>
      <c r="E23" s="3"/>
      <c r="F23" s="3"/>
      <c r="G23" s="3"/>
      <c r="H23" s="3"/>
      <c r="I23" s="3">
        <v>13.98588</v>
      </c>
      <c r="J23" s="3">
        <v>15.129571</v>
      </c>
      <c r="K23" s="3">
        <v>23.082124</v>
      </c>
      <c r="L23" s="3">
        <v>22.736260000000001</v>
      </c>
      <c r="M23" s="3">
        <v>23.022769</v>
      </c>
      <c r="N23" s="3">
        <v>25</v>
      </c>
      <c r="O23" s="3">
        <v>27.495186</v>
      </c>
      <c r="P23" s="3">
        <v>28.525686</v>
      </c>
      <c r="Q23" s="3">
        <v>35.322845999999998</v>
      </c>
      <c r="R23" s="3">
        <v>60.370223000000003</v>
      </c>
      <c r="S23" s="3">
        <v>93.645049999999998</v>
      </c>
      <c r="T23" s="3">
        <v>122.87642</v>
      </c>
      <c r="U23" s="3">
        <v>141.07378199999999</v>
      </c>
      <c r="V23" s="3">
        <v>163.07495499999999</v>
      </c>
      <c r="W23" s="3">
        <v>187.41175100000001</v>
      </c>
      <c r="X23" s="3">
        <v>212.48800299999999</v>
      </c>
      <c r="Y23" s="3">
        <v>212.4</v>
      </c>
      <c r="Z23" s="3">
        <v>213.3</v>
      </c>
      <c r="AA23" s="3">
        <v>217.8</v>
      </c>
      <c r="AB23" s="3">
        <v>212.4</v>
      </c>
      <c r="AC23" s="3">
        <v>209.2</v>
      </c>
      <c r="AD23" s="3">
        <v>178.3</v>
      </c>
      <c r="AE23" s="3"/>
      <c r="AF23" s="1"/>
    </row>
    <row r="25" spans="1:32" x14ac:dyDescent="0.3">
      <c r="A25" s="9" t="s">
        <v>71</v>
      </c>
      <c r="B25" s="8"/>
      <c r="C25" s="9" t="s">
        <v>26</v>
      </c>
      <c r="D25" s="8">
        <v>94</v>
      </c>
      <c r="E25" s="8">
        <v>95</v>
      </c>
      <c r="F25" s="8">
        <v>96</v>
      </c>
      <c r="G25" s="8">
        <v>97</v>
      </c>
      <c r="H25" s="8">
        <v>98</v>
      </c>
      <c r="I25" s="8">
        <v>99</v>
      </c>
      <c r="J25" s="8">
        <v>2000</v>
      </c>
      <c r="K25" s="8">
        <v>1</v>
      </c>
      <c r="L25" s="8">
        <v>2</v>
      </c>
      <c r="M25" s="8">
        <v>3</v>
      </c>
      <c r="N25" s="8">
        <v>4</v>
      </c>
      <c r="O25" s="8">
        <v>5</v>
      </c>
      <c r="P25" s="8">
        <v>6</v>
      </c>
      <c r="Q25" s="8">
        <v>7</v>
      </c>
      <c r="R25" s="8">
        <v>8</v>
      </c>
      <c r="S25" s="8">
        <v>9</v>
      </c>
      <c r="T25" s="8">
        <v>10</v>
      </c>
      <c r="U25" s="8">
        <v>11</v>
      </c>
      <c r="V25" s="8">
        <v>12</v>
      </c>
      <c r="W25" s="8">
        <v>13</v>
      </c>
      <c r="X25" s="8">
        <v>14</v>
      </c>
      <c r="Y25" s="8">
        <v>15</v>
      </c>
      <c r="Z25" s="8">
        <v>16</v>
      </c>
      <c r="AA25" s="8">
        <v>17</v>
      </c>
      <c r="AB25" s="8">
        <v>18</v>
      </c>
      <c r="AC25" s="8">
        <v>19</v>
      </c>
      <c r="AD25" s="8">
        <v>20</v>
      </c>
      <c r="AE25" s="8" t="s">
        <v>3</v>
      </c>
      <c r="AF25" s="8" t="s">
        <v>94</v>
      </c>
    </row>
    <row r="26" spans="1:32" x14ac:dyDescent="0.3">
      <c r="A26" s="6" t="s">
        <v>65</v>
      </c>
      <c r="B26" s="17" t="s">
        <v>27</v>
      </c>
      <c r="C26" s="6" t="s">
        <v>85</v>
      </c>
      <c r="D26" s="7">
        <f t="shared" ref="D26:AE26" si="0">D4*D5</f>
        <v>0</v>
      </c>
      <c r="E26" s="7">
        <f t="shared" si="0"/>
        <v>0</v>
      </c>
      <c r="F26" s="7">
        <f t="shared" si="0"/>
        <v>0</v>
      </c>
      <c r="G26" s="7">
        <f t="shared" si="0"/>
        <v>0</v>
      </c>
      <c r="H26" s="7">
        <f t="shared" si="0"/>
        <v>0</v>
      </c>
      <c r="I26" s="7">
        <f t="shared" si="0"/>
        <v>6.1380000000000008</v>
      </c>
      <c r="J26" s="7">
        <f t="shared" si="0"/>
        <v>6.3</v>
      </c>
      <c r="K26" s="7">
        <f t="shared" si="0"/>
        <v>7.2359999999999998</v>
      </c>
      <c r="L26" s="7">
        <f t="shared" si="0"/>
        <v>0.81</v>
      </c>
      <c r="M26" s="7">
        <f t="shared" si="0"/>
        <v>8.1</v>
      </c>
      <c r="N26" s="7">
        <f t="shared" si="0"/>
        <v>13.788</v>
      </c>
      <c r="O26" s="7">
        <f t="shared" si="0"/>
        <v>13.788</v>
      </c>
      <c r="P26" s="7">
        <f t="shared" si="0"/>
        <v>13.824</v>
      </c>
      <c r="Q26" s="7">
        <f t="shared" si="0"/>
        <v>13.464</v>
      </c>
      <c r="R26" s="7">
        <f t="shared" si="0"/>
        <v>13.464</v>
      </c>
      <c r="S26" s="7">
        <f t="shared" si="0"/>
        <v>23.400000000000002</v>
      </c>
      <c r="T26" s="7">
        <f t="shared" si="0"/>
        <v>9.9179999999999993</v>
      </c>
      <c r="U26" s="7">
        <f t="shared" si="0"/>
        <v>36</v>
      </c>
      <c r="V26" s="7">
        <f t="shared" si="0"/>
        <v>39.6</v>
      </c>
      <c r="W26" s="7">
        <f t="shared" si="0"/>
        <v>91.8</v>
      </c>
      <c r="X26" s="7">
        <f t="shared" si="0"/>
        <v>109.8</v>
      </c>
      <c r="Y26" s="7">
        <f t="shared" si="0"/>
        <v>100.8</v>
      </c>
      <c r="Z26" s="7">
        <f t="shared" si="0"/>
        <v>52.2</v>
      </c>
      <c r="AA26" s="7">
        <f t="shared" si="0"/>
        <v>72.900000000000006</v>
      </c>
      <c r="AB26" s="7">
        <f t="shared" si="0"/>
        <v>90.083179999999999</v>
      </c>
      <c r="AC26" s="7">
        <f t="shared" si="0"/>
        <v>69.12</v>
      </c>
      <c r="AD26" s="7">
        <f t="shared" si="0"/>
        <v>59.04974</v>
      </c>
      <c r="AE26" s="7">
        <f t="shared" si="0"/>
        <v>58.618719999999996</v>
      </c>
      <c r="AF26" s="1"/>
    </row>
    <row r="27" spans="1:32" x14ac:dyDescent="0.3">
      <c r="A27" s="1" t="s">
        <v>66</v>
      </c>
      <c r="B27" s="2" t="s">
        <v>28</v>
      </c>
      <c r="C27" s="1" t="s">
        <v>47</v>
      </c>
      <c r="D27" s="30" t="e">
        <f t="shared" ref="D27:AC27" si="1">D26/D6</f>
        <v>#DIV/0!</v>
      </c>
      <c r="E27" s="30" t="e">
        <f t="shared" si="1"/>
        <v>#DIV/0!</v>
      </c>
      <c r="F27" s="30" t="e">
        <f t="shared" si="1"/>
        <v>#DIV/0!</v>
      </c>
      <c r="G27" s="30" t="e">
        <f t="shared" si="1"/>
        <v>#DIV/0!</v>
      </c>
      <c r="H27" s="30" t="e">
        <f t="shared" si="1"/>
        <v>#DIV/0!</v>
      </c>
      <c r="I27" s="30">
        <f t="shared" si="1"/>
        <v>0.10467107906366964</v>
      </c>
      <c r="J27" s="30">
        <f t="shared" si="1"/>
        <v>9.2595261306693447E-2</v>
      </c>
      <c r="K27" s="30">
        <f t="shared" si="1"/>
        <v>0.11149668412158864</v>
      </c>
      <c r="L27" s="30">
        <f t="shared" si="1"/>
        <v>1.6983392967407612E-2</v>
      </c>
      <c r="M27" s="30">
        <f t="shared" si="1"/>
        <v>0.16092069204480014</v>
      </c>
      <c r="N27" s="30">
        <f t="shared" si="1"/>
        <v>0.18632432432432433</v>
      </c>
      <c r="O27" s="30">
        <f t="shared" si="1"/>
        <v>0.14002345240495917</v>
      </c>
      <c r="P27" s="30">
        <f t="shared" si="1"/>
        <v>0.1050484033087238</v>
      </c>
      <c r="Q27" s="30">
        <f t="shared" si="1"/>
        <v>0.1189612214956601</v>
      </c>
      <c r="R27" s="30">
        <f t="shared" si="1"/>
        <v>6.6218130311614734E-2</v>
      </c>
      <c r="S27" s="30">
        <f t="shared" si="1"/>
        <v>8.9857955309107534E-2</v>
      </c>
      <c r="T27" s="30">
        <f t="shared" si="1"/>
        <v>3.937980187012368E-2</v>
      </c>
      <c r="U27" s="30">
        <f t="shared" si="1"/>
        <v>0.15118916006983915</v>
      </c>
      <c r="V27" s="30">
        <f t="shared" si="1"/>
        <v>0.17186811334018076</v>
      </c>
      <c r="W27" s="30">
        <f t="shared" si="1"/>
        <v>0.44035424743545454</v>
      </c>
      <c r="X27" s="30">
        <f t="shared" si="1"/>
        <v>0.52582328194354166</v>
      </c>
      <c r="Y27" s="30">
        <f t="shared" si="1"/>
        <v>0.51383306929722006</v>
      </c>
      <c r="Z27" s="30">
        <f t="shared" si="1"/>
        <v>0.35702400791526334</v>
      </c>
      <c r="AA27" s="30">
        <f t="shared" si="1"/>
        <v>0.51886120996441287</v>
      </c>
      <c r="AB27" s="30">
        <f t="shared" si="1"/>
        <v>0.72297897271268063</v>
      </c>
      <c r="AC27" s="30">
        <f t="shared" si="1"/>
        <v>0.44651162790697674</v>
      </c>
      <c r="AD27" s="30">
        <f t="shared" ref="AD27" si="2">AD26/AD6</f>
        <v>0.47620758064516128</v>
      </c>
      <c r="AE27" s="30"/>
      <c r="AF27" s="1"/>
    </row>
    <row r="28" spans="1:32" x14ac:dyDescent="0.3">
      <c r="A28" s="6" t="s">
        <v>67</v>
      </c>
      <c r="B28" s="17" t="s">
        <v>29</v>
      </c>
      <c r="C28" s="6" t="s">
        <v>48</v>
      </c>
      <c r="D28" s="29" t="e">
        <f t="shared" ref="D28:AC28" si="3">D26/D7</f>
        <v>#DIV/0!</v>
      </c>
      <c r="E28" s="29" t="e">
        <f t="shared" si="3"/>
        <v>#DIV/0!</v>
      </c>
      <c r="F28" s="29" t="e">
        <f t="shared" si="3"/>
        <v>#DIV/0!</v>
      </c>
      <c r="G28" s="29" t="e">
        <f t="shared" si="3"/>
        <v>#DIV/0!</v>
      </c>
      <c r="H28" s="29" t="e">
        <f t="shared" si="3"/>
        <v>#DIV/0!</v>
      </c>
      <c r="I28" s="29">
        <f t="shared" si="3"/>
        <v>1.6167905995400922</v>
      </c>
      <c r="J28" s="29">
        <f t="shared" si="3"/>
        <v>1.0729189799708165</v>
      </c>
      <c r="K28" s="29">
        <f t="shared" si="3"/>
        <v>1.6008275809583816</v>
      </c>
      <c r="L28" s="29">
        <f t="shared" si="3"/>
        <v>-0.23504333647788433</v>
      </c>
      <c r="M28" s="29">
        <f t="shared" si="3"/>
        <v>2.2634701624333253</v>
      </c>
      <c r="N28" s="29">
        <f t="shared" si="3"/>
        <v>2.298</v>
      </c>
      <c r="O28" s="29">
        <f t="shared" si="3"/>
        <v>1.6473118279569894</v>
      </c>
      <c r="P28" s="29">
        <f t="shared" si="3"/>
        <v>0.85916718458669983</v>
      </c>
      <c r="Q28" s="29">
        <f t="shared" si="3"/>
        <v>0.58254539280753737</v>
      </c>
      <c r="R28" s="29">
        <f t="shared" si="3"/>
        <v>0.25766162999801417</v>
      </c>
      <c r="S28" s="29">
        <f t="shared" si="3"/>
        <v>0.36188178528347409</v>
      </c>
      <c r="T28" s="29">
        <f t="shared" si="3"/>
        <v>0.13269114990969294</v>
      </c>
      <c r="U28" s="29">
        <f t="shared" si="3"/>
        <v>0.67444766951164936</v>
      </c>
      <c r="V28" s="29">
        <f t="shared" si="3"/>
        <v>0.62331940849317713</v>
      </c>
      <c r="W28" s="29">
        <f t="shared" si="3"/>
        <v>1.2953806373698886</v>
      </c>
      <c r="X28" s="29">
        <f t="shared" si="3"/>
        <v>1.728033359542364</v>
      </c>
      <c r="Y28" s="29">
        <f t="shared" si="3"/>
        <v>2.8350658266846631</v>
      </c>
      <c r="Z28" s="29">
        <f t="shared" si="3"/>
        <v>1.7921170948710743</v>
      </c>
      <c r="AA28" s="29">
        <f t="shared" si="3"/>
        <v>1.7780487804878051</v>
      </c>
      <c r="AB28" s="29">
        <f t="shared" si="3"/>
        <v>2.5738051428571427</v>
      </c>
      <c r="AC28" s="29">
        <f t="shared" si="3"/>
        <v>2.3834482758620692</v>
      </c>
      <c r="AD28" s="29">
        <f t="shared" ref="AD28" si="4">AD26/AD7</f>
        <v>5.5186672897196267</v>
      </c>
      <c r="AE28" s="29"/>
      <c r="AF28" s="1"/>
    </row>
    <row r="29" spans="1:32" x14ac:dyDescent="0.3">
      <c r="A29" s="15" t="s">
        <v>68</v>
      </c>
      <c r="B29" s="2" t="s">
        <v>30</v>
      </c>
      <c r="C29" s="1" t="s">
        <v>49</v>
      </c>
      <c r="D29" s="3">
        <f t="shared" ref="D29:AC29" si="5">D15-D14</f>
        <v>0</v>
      </c>
      <c r="E29" s="3">
        <f t="shared" si="5"/>
        <v>0</v>
      </c>
      <c r="F29" s="3">
        <f t="shared" si="5"/>
        <v>0</v>
      </c>
      <c r="G29" s="3">
        <f t="shared" si="5"/>
        <v>0</v>
      </c>
      <c r="H29" s="3">
        <f t="shared" si="5"/>
        <v>0</v>
      </c>
      <c r="I29" s="3">
        <f t="shared" si="5"/>
        <v>17.311530000000001</v>
      </c>
      <c r="J29" s="3">
        <f t="shared" si="5"/>
        <v>25.981715000000001</v>
      </c>
      <c r="K29" s="3">
        <f t="shared" si="5"/>
        <v>24.911920000000002</v>
      </c>
      <c r="L29" s="3">
        <f t="shared" si="5"/>
        <v>23.989702000000001</v>
      </c>
      <c r="M29" s="3">
        <f t="shared" si="5"/>
        <v>14.446869</v>
      </c>
      <c r="N29" s="3">
        <f t="shared" si="5"/>
        <v>12.75</v>
      </c>
      <c r="O29" s="3">
        <f t="shared" si="5"/>
        <v>11.345503999999998</v>
      </c>
      <c r="P29" s="3">
        <f t="shared" si="5"/>
        <v>16.094526000000002</v>
      </c>
      <c r="Q29" s="3">
        <f t="shared" si="5"/>
        <v>-7.6574819999999999</v>
      </c>
      <c r="R29" s="3">
        <f t="shared" si="5"/>
        <v>-66.701558000000006</v>
      </c>
      <c r="S29" s="3">
        <f t="shared" si="5"/>
        <v>-4.4890749999999997</v>
      </c>
      <c r="T29" s="3">
        <f t="shared" si="5"/>
        <v>1.9534420000000026</v>
      </c>
      <c r="U29" s="3">
        <f t="shared" si="5"/>
        <v>6.3474939999999975</v>
      </c>
      <c r="V29" s="3">
        <f t="shared" si="5"/>
        <v>-16.540243999999994</v>
      </c>
      <c r="W29" s="3">
        <f t="shared" si="5"/>
        <v>-6.3771089999999973</v>
      </c>
      <c r="X29" s="3">
        <f t="shared" si="5"/>
        <v>10.769270000000006</v>
      </c>
      <c r="Y29" s="3">
        <f t="shared" si="5"/>
        <v>24.564310000000006</v>
      </c>
      <c r="Z29" s="3">
        <f t="shared" si="5"/>
        <v>35.518011999999999</v>
      </c>
      <c r="AA29" s="3">
        <f t="shared" si="5"/>
        <v>23.800000000000011</v>
      </c>
      <c r="AB29" s="3">
        <f t="shared" si="5"/>
        <v>35.400000000000006</v>
      </c>
      <c r="AC29" s="3">
        <f t="shared" si="5"/>
        <v>56.5</v>
      </c>
      <c r="AD29" s="3">
        <f t="shared" ref="AD29" si="6">AD15-AD14</f>
        <v>71.100000000000009</v>
      </c>
      <c r="AE29" s="3"/>
      <c r="AF29" s="1"/>
    </row>
    <row r="30" spans="1:32" x14ac:dyDescent="0.3">
      <c r="A30" s="6" t="s">
        <v>69</v>
      </c>
      <c r="B30" s="17" t="s">
        <v>31</v>
      </c>
      <c r="C30" s="6" t="s">
        <v>50</v>
      </c>
      <c r="D30" s="7">
        <f t="shared" ref="D30:AC30" si="7">D26+D29+D16+D17</f>
        <v>0</v>
      </c>
      <c r="E30" s="7">
        <f t="shared" si="7"/>
        <v>0</v>
      </c>
      <c r="F30" s="7">
        <f t="shared" si="7"/>
        <v>0</v>
      </c>
      <c r="G30" s="7">
        <f t="shared" si="7"/>
        <v>0</v>
      </c>
      <c r="H30" s="7">
        <f t="shared" si="7"/>
        <v>0</v>
      </c>
      <c r="I30" s="7">
        <f t="shared" si="7"/>
        <v>23.589225000000003</v>
      </c>
      <c r="J30" s="7">
        <f t="shared" si="7"/>
        <v>32.522678999999997</v>
      </c>
      <c r="K30" s="7">
        <f t="shared" si="7"/>
        <v>32.646369999999997</v>
      </c>
      <c r="L30" s="7">
        <f t="shared" si="7"/>
        <v>25.439734999999999</v>
      </c>
      <c r="M30" s="7">
        <f t="shared" si="7"/>
        <v>22.769474000000002</v>
      </c>
      <c r="N30" s="7">
        <f t="shared" si="7"/>
        <v>26.538</v>
      </c>
      <c r="O30" s="7">
        <f t="shared" si="7"/>
        <v>25.402510999999997</v>
      </c>
      <c r="P30" s="7">
        <f t="shared" si="7"/>
        <v>30.177379999999999</v>
      </c>
      <c r="Q30" s="7">
        <f t="shared" si="7"/>
        <v>5.8065180000000005</v>
      </c>
      <c r="R30" s="7">
        <f t="shared" si="7"/>
        <v>-53.237558000000007</v>
      </c>
      <c r="S30" s="7">
        <f t="shared" si="7"/>
        <v>19.300974000000004</v>
      </c>
      <c r="T30" s="7">
        <f t="shared" si="7"/>
        <v>12.390102000000002</v>
      </c>
      <c r="U30" s="7">
        <f t="shared" si="7"/>
        <v>42.770405999999994</v>
      </c>
      <c r="V30" s="7">
        <f t="shared" si="7"/>
        <v>23.160070000000008</v>
      </c>
      <c r="W30" s="7">
        <f t="shared" si="7"/>
        <v>85.548871999999989</v>
      </c>
      <c r="X30" s="7">
        <f t="shared" si="7"/>
        <v>120.725275</v>
      </c>
      <c r="Y30" s="7">
        <f t="shared" si="7"/>
        <v>125.499009</v>
      </c>
      <c r="Z30" s="7">
        <f t="shared" si="7"/>
        <v>87.831237000000002</v>
      </c>
      <c r="AA30" s="7">
        <f t="shared" si="7"/>
        <v>96.823028000000022</v>
      </c>
      <c r="AB30" s="7">
        <f t="shared" si="7"/>
        <v>125.60620800000001</v>
      </c>
      <c r="AC30" s="7">
        <f t="shared" si="7"/>
        <v>125.74302800000001</v>
      </c>
      <c r="AD30" s="7">
        <f t="shared" ref="AD30" si="8">AD26+AD29+AD16+AD17</f>
        <v>130.27276800000001</v>
      </c>
      <c r="AE30" s="7"/>
      <c r="AF30" s="1"/>
    </row>
    <row r="31" spans="1:32" x14ac:dyDescent="0.3">
      <c r="A31" s="1" t="s">
        <v>70</v>
      </c>
      <c r="B31" s="2" t="s">
        <v>32</v>
      </c>
      <c r="C31" s="1" t="s">
        <v>51</v>
      </c>
      <c r="D31" s="30" t="e">
        <f t="shared" ref="D31:AC31" si="9">D30/D7</f>
        <v>#DIV/0!</v>
      </c>
      <c r="E31" s="30" t="e">
        <f t="shared" si="9"/>
        <v>#DIV/0!</v>
      </c>
      <c r="F31" s="30" t="e">
        <f t="shared" si="9"/>
        <v>#DIV/0!</v>
      </c>
      <c r="G31" s="30" t="e">
        <f t="shared" si="9"/>
        <v>#DIV/0!</v>
      </c>
      <c r="H31" s="30" t="e">
        <f t="shared" si="9"/>
        <v>#DIV/0!</v>
      </c>
      <c r="I31" s="30">
        <f t="shared" si="9"/>
        <v>6.2135609694421845</v>
      </c>
      <c r="J31" s="30">
        <f t="shared" si="9"/>
        <v>5.5387618378727446</v>
      </c>
      <c r="K31" s="30">
        <f t="shared" si="9"/>
        <v>7.2223893745401151</v>
      </c>
      <c r="L31" s="30">
        <f t="shared" si="9"/>
        <v>-7.3820249302632224</v>
      </c>
      <c r="M31" s="30">
        <f t="shared" si="9"/>
        <v>6.3627191374446159</v>
      </c>
      <c r="N31" s="30">
        <f t="shared" si="9"/>
        <v>4.423</v>
      </c>
      <c r="O31" s="30">
        <f t="shared" si="9"/>
        <v>3.0349475507765828</v>
      </c>
      <c r="P31" s="30">
        <f t="shared" si="9"/>
        <v>1.8755363579863269</v>
      </c>
      <c r="Q31" s="30">
        <f t="shared" si="9"/>
        <v>0.2512299694855939</v>
      </c>
      <c r="R31" s="30">
        <f t="shared" si="9"/>
        <v>-1.018811346657295</v>
      </c>
      <c r="S31" s="30">
        <f t="shared" si="9"/>
        <v>0.29849021063375708</v>
      </c>
      <c r="T31" s="30">
        <f t="shared" si="9"/>
        <v>0.16576496086694764</v>
      </c>
      <c r="U31" s="30">
        <f t="shared" si="9"/>
        <v>0.80128890696575161</v>
      </c>
      <c r="V31" s="30">
        <f t="shared" si="9"/>
        <v>0.36454851346112582</v>
      </c>
      <c r="W31" s="30">
        <f t="shared" si="9"/>
        <v>1.2071715940918846</v>
      </c>
      <c r="X31" s="30">
        <f t="shared" si="9"/>
        <v>1.8999754329683585</v>
      </c>
      <c r="Y31" s="30">
        <f t="shared" si="9"/>
        <v>3.5297415843124109</v>
      </c>
      <c r="Z31" s="30">
        <f t="shared" si="9"/>
        <v>3.0153996415971802</v>
      </c>
      <c r="AA31" s="30">
        <f t="shared" si="9"/>
        <v>2.3615372682926834</v>
      </c>
      <c r="AB31" s="30">
        <f t="shared" si="9"/>
        <v>3.5887488000000003</v>
      </c>
      <c r="AC31" s="30">
        <f t="shared" si="9"/>
        <v>4.3359664827586206</v>
      </c>
      <c r="AD31" s="30">
        <f t="shared" ref="AD31" si="10">AD30/AD7</f>
        <v>12.175025046728974</v>
      </c>
      <c r="AE31" s="30"/>
      <c r="AF31" s="1"/>
    </row>
    <row r="32" spans="1:32" x14ac:dyDescent="0.3">
      <c r="A32" s="18" t="s">
        <v>72</v>
      </c>
      <c r="B32" s="17" t="s">
        <v>33</v>
      </c>
      <c r="C32" s="6" t="s">
        <v>109</v>
      </c>
      <c r="D32" s="27" t="e">
        <f t="shared" ref="D32:AC32" si="11">D7/D6</f>
        <v>#DIV/0!</v>
      </c>
      <c r="E32" s="27" t="e">
        <f t="shared" si="11"/>
        <v>#DIV/0!</v>
      </c>
      <c r="F32" s="27" t="e">
        <f t="shared" si="11"/>
        <v>#DIV/0!</v>
      </c>
      <c r="G32" s="27" t="e">
        <f t="shared" si="11"/>
        <v>#DIV/0!</v>
      </c>
      <c r="H32" s="27" t="e">
        <f t="shared" si="11"/>
        <v>#DIV/0!</v>
      </c>
      <c r="I32" s="27">
        <f t="shared" si="11"/>
        <v>6.4740034419697945E-2</v>
      </c>
      <c r="J32" s="27">
        <f t="shared" si="11"/>
        <v>8.6302193395080079E-2</v>
      </c>
      <c r="K32" s="27">
        <f t="shared" si="11"/>
        <v>6.9649402251576606E-2</v>
      </c>
      <c r="L32" s="27">
        <f t="shared" si="11"/>
        <v>-7.2256432460086409E-2</v>
      </c>
      <c r="M32" s="27">
        <f t="shared" si="11"/>
        <v>7.1094682278384294E-2</v>
      </c>
      <c r="N32" s="27">
        <f t="shared" si="11"/>
        <v>8.1081081081081086E-2</v>
      </c>
      <c r="O32" s="27">
        <f t="shared" si="11"/>
        <v>8.5001181942958234E-2</v>
      </c>
      <c r="P32" s="27">
        <f t="shared" si="11"/>
        <v>0.12226770900154556</v>
      </c>
      <c r="Q32" s="27">
        <f t="shared" si="11"/>
        <v>0.20420935941546925</v>
      </c>
      <c r="R32" s="27">
        <f t="shared" si="11"/>
        <v>0.25699647367799811</v>
      </c>
      <c r="S32" s="27">
        <f t="shared" si="11"/>
        <v>0.24830748317083381</v>
      </c>
      <c r="T32" s="27">
        <f t="shared" si="11"/>
        <v>0.29677790792320979</v>
      </c>
      <c r="U32" s="27">
        <f t="shared" si="11"/>
        <v>0.22416736969276121</v>
      </c>
      <c r="V32" s="27">
        <f t="shared" si="11"/>
        <v>0.27573040562888557</v>
      </c>
      <c r="W32" s="27">
        <f t="shared" si="11"/>
        <v>0.33994197128771342</v>
      </c>
      <c r="X32" s="27">
        <f t="shared" si="11"/>
        <v>0.30429000634732872</v>
      </c>
      <c r="Y32" s="27">
        <f t="shared" si="11"/>
        <v>0.1812420242453765</v>
      </c>
      <c r="Z32" s="27">
        <f t="shared" si="11"/>
        <v>0.19921912967464206</v>
      </c>
      <c r="AA32" s="27">
        <f t="shared" si="11"/>
        <v>0.29181494661921709</v>
      </c>
      <c r="AB32" s="27">
        <f t="shared" si="11"/>
        <v>0.2808988764044944</v>
      </c>
      <c r="AC32" s="27">
        <f t="shared" si="11"/>
        <v>0.18733850129198965</v>
      </c>
      <c r="AD32" s="27">
        <f t="shared" ref="AD32" si="12">AD7/AD6</f>
        <v>8.629032258064516E-2</v>
      </c>
      <c r="AE32" s="27"/>
      <c r="AF32" s="1"/>
    </row>
    <row r="33" spans="1:32" x14ac:dyDescent="0.3">
      <c r="A33" s="16" t="s">
        <v>73</v>
      </c>
      <c r="B33" s="2" t="s">
        <v>34</v>
      </c>
      <c r="C33" s="1" t="s">
        <v>110</v>
      </c>
      <c r="D33" s="28" t="e">
        <f t="shared" ref="D33:AC33" si="13">D8/D6</f>
        <v>#DIV/0!</v>
      </c>
      <c r="E33" s="28" t="e">
        <f t="shared" si="13"/>
        <v>#DIV/0!</v>
      </c>
      <c r="F33" s="28" t="e">
        <f t="shared" si="13"/>
        <v>#DIV/0!</v>
      </c>
      <c r="G33" s="28" t="e">
        <f t="shared" si="13"/>
        <v>#DIV/0!</v>
      </c>
      <c r="H33" s="28" t="e">
        <f t="shared" si="13"/>
        <v>#DIV/0!</v>
      </c>
      <c r="I33" s="28">
        <f t="shared" si="13"/>
        <v>1.1352497679091909E-2</v>
      </c>
      <c r="J33" s="28">
        <f t="shared" si="13"/>
        <v>4.9094507265266714E-2</v>
      </c>
      <c r="K33" s="28">
        <f t="shared" si="13"/>
        <v>3.9849139870725789E-2</v>
      </c>
      <c r="L33" s="28">
        <f t="shared" si="13"/>
        <v>-0.10185915735113585</v>
      </c>
      <c r="M33" s="28">
        <f t="shared" si="13"/>
        <v>4.0415013272778411E-2</v>
      </c>
      <c r="N33" s="28">
        <f t="shared" si="13"/>
        <v>3.3783783783783786E-2</v>
      </c>
      <c r="O33" s="28">
        <f t="shared" si="13"/>
        <v>3.2644191074573267E-2</v>
      </c>
      <c r="P33" s="28">
        <f t="shared" si="13"/>
        <v>7.7974912991403064E-2</v>
      </c>
      <c r="Q33" s="28">
        <f t="shared" si="13"/>
        <v>0.15743387604030437</v>
      </c>
      <c r="R33" s="28">
        <f t="shared" si="13"/>
        <v>0.21938127557444129</v>
      </c>
      <c r="S33" s="28">
        <f t="shared" si="13"/>
        <v>0.21622390375214565</v>
      </c>
      <c r="T33" s="28">
        <f t="shared" si="13"/>
        <v>0.25540829445514285</v>
      </c>
      <c r="U33" s="28">
        <f t="shared" si="13"/>
        <v>0.18401805091058943</v>
      </c>
      <c r="V33" s="28">
        <f t="shared" si="13"/>
        <v>0.23805135117155377</v>
      </c>
      <c r="W33" s="28">
        <f t="shared" si="13"/>
        <v>0.30915957365343077</v>
      </c>
      <c r="X33" s="28">
        <f t="shared" si="13"/>
        <v>0.25711857212524963</v>
      </c>
      <c r="Y33" s="28">
        <f t="shared" si="13"/>
        <v>0.12249695242955874</v>
      </c>
      <c r="Z33" s="28">
        <f t="shared" si="13"/>
        <v>0.13546939474957895</v>
      </c>
      <c r="AA33" s="28">
        <f t="shared" si="13"/>
        <v>0.1715302491103203</v>
      </c>
      <c r="AB33" s="28">
        <f t="shared" si="13"/>
        <v>0.15409309791332262</v>
      </c>
      <c r="AC33" s="28">
        <f t="shared" si="13"/>
        <v>0.1020671834625323</v>
      </c>
      <c r="AD33" s="28">
        <f t="shared" ref="AD33" si="14">AD8/AD6</f>
        <v>5.32258064516129E-2</v>
      </c>
      <c r="AE33" s="28"/>
      <c r="AF33" s="1"/>
    </row>
    <row r="34" spans="1:32" x14ac:dyDescent="0.3">
      <c r="A34" s="18" t="s">
        <v>74</v>
      </c>
      <c r="B34" s="17" t="s">
        <v>35</v>
      </c>
      <c r="C34" s="6" t="s">
        <v>54</v>
      </c>
      <c r="D34" s="27" t="e">
        <f t="shared" ref="D34:AC34" si="15">D11/D10</f>
        <v>#DIV/0!</v>
      </c>
      <c r="E34" s="27" t="e">
        <f t="shared" si="15"/>
        <v>#DIV/0!</v>
      </c>
      <c r="F34" s="27" t="e">
        <f t="shared" si="15"/>
        <v>#DIV/0!</v>
      </c>
      <c r="G34" s="27" t="e">
        <f t="shared" si="15"/>
        <v>#DIV/0!</v>
      </c>
      <c r="H34" s="27" t="e">
        <f t="shared" si="15"/>
        <v>#DIV/0!</v>
      </c>
      <c r="I34" s="27">
        <f t="shared" si="15"/>
        <v>0.28793655916457267</v>
      </c>
      <c r="J34" s="27">
        <f t="shared" si="15"/>
        <v>0.40441115359951429</v>
      </c>
      <c r="K34" s="27">
        <f t="shared" si="15"/>
        <v>0.4069729961956377</v>
      </c>
      <c r="L34" s="27">
        <f t="shared" si="15"/>
        <v>0.46652448550942072</v>
      </c>
      <c r="M34" s="27">
        <f t="shared" si="15"/>
        <v>0.47397713294751059</v>
      </c>
      <c r="N34" s="27">
        <f t="shared" si="15"/>
        <v>0.43478260869565222</v>
      </c>
      <c r="O34" s="27">
        <f t="shared" si="15"/>
        <v>0.43676371646930645</v>
      </c>
      <c r="P34" s="27">
        <f t="shared" si="15"/>
        <v>0.61758531029719166</v>
      </c>
      <c r="Q34" s="27">
        <f t="shared" si="15"/>
        <v>0.43481311778426934</v>
      </c>
      <c r="R34" s="27">
        <f t="shared" si="15"/>
        <v>0.38866538953930302</v>
      </c>
      <c r="S34" s="27">
        <f t="shared" si="15"/>
        <v>0.33017183586784349</v>
      </c>
      <c r="T34" s="27">
        <f t="shared" si="15"/>
        <v>0.44698448142151487</v>
      </c>
      <c r="U34" s="27">
        <f t="shared" si="15"/>
        <v>0.46280157267791722</v>
      </c>
      <c r="V34" s="27">
        <f t="shared" si="15"/>
        <v>0.51612236683136992</v>
      </c>
      <c r="W34" s="27">
        <f t="shared" si="15"/>
        <v>0.38599537071126533</v>
      </c>
      <c r="X34" s="27">
        <f t="shared" si="15"/>
        <v>0.35193529530816969</v>
      </c>
      <c r="Y34" s="27">
        <f t="shared" si="15"/>
        <v>0.37241432820274717</v>
      </c>
      <c r="Z34" s="27">
        <f t="shared" si="15"/>
        <v>0.38865178347637447</v>
      </c>
      <c r="AA34" s="27">
        <f t="shared" si="15"/>
        <v>0.45736434108527135</v>
      </c>
      <c r="AB34" s="27">
        <f t="shared" si="15"/>
        <v>0.75781249999999989</v>
      </c>
      <c r="AC34" s="27">
        <f t="shared" si="15"/>
        <v>0.79831932773109238</v>
      </c>
      <c r="AD34" s="27">
        <f t="shared" ref="AD34" si="16">AD11/AD10</f>
        <v>0.63636363636363646</v>
      </c>
      <c r="AE34" s="27"/>
      <c r="AF34" s="1"/>
    </row>
    <row r="35" spans="1:32" x14ac:dyDescent="0.3">
      <c r="A35" s="16" t="s">
        <v>75</v>
      </c>
      <c r="B35" s="2" t="s">
        <v>36</v>
      </c>
      <c r="C35" s="1" t="s">
        <v>108</v>
      </c>
      <c r="D35" s="28" t="e">
        <f t="shared" ref="D35:AC35" si="17">D12/D6</f>
        <v>#DIV/0!</v>
      </c>
      <c r="E35" s="28" t="e">
        <f t="shared" si="17"/>
        <v>#DIV/0!</v>
      </c>
      <c r="F35" s="28" t="e">
        <f t="shared" si="17"/>
        <v>#DIV/0!</v>
      </c>
      <c r="G35" s="28" t="e">
        <f t="shared" si="17"/>
        <v>#DIV/0!</v>
      </c>
      <c r="H35" s="28" t="e">
        <f t="shared" si="17"/>
        <v>#DIV/0!</v>
      </c>
      <c r="I35" s="28">
        <f t="shared" si="17"/>
        <v>1.8299192167097198E-3</v>
      </c>
      <c r="J35" s="28">
        <f t="shared" si="17"/>
        <v>1.8060837996815279E-2</v>
      </c>
      <c r="K35" s="28">
        <f t="shared" si="17"/>
        <v>1.7651777211073159E-2</v>
      </c>
      <c r="L35" s="28">
        <f t="shared" si="17"/>
        <v>1.6761937909973341E-2</v>
      </c>
      <c r="M35" s="28">
        <f t="shared" si="17"/>
        <v>1.1867066634715632E-2</v>
      </c>
      <c r="N35" s="28">
        <f t="shared" si="17"/>
        <v>1.3513513513513514E-2</v>
      </c>
      <c r="O35" s="28">
        <f t="shared" si="17"/>
        <v>3.6826817931804659E-2</v>
      </c>
      <c r="P35" s="28">
        <f t="shared" si="17"/>
        <v>1.4375384618003344E-2</v>
      </c>
      <c r="Q35" s="28">
        <f t="shared" si="17"/>
        <v>6.1704763252723178E-2</v>
      </c>
      <c r="R35" s="28">
        <f t="shared" si="17"/>
        <v>0.1294137010151086</v>
      </c>
      <c r="S35" s="28">
        <f t="shared" si="17"/>
        <v>0.14284621617366394</v>
      </c>
      <c r="T35" s="28">
        <f t="shared" si="17"/>
        <v>0.13546047130293223</v>
      </c>
      <c r="U35" s="28">
        <f t="shared" si="17"/>
        <v>8.3924636588190812E-2</v>
      </c>
      <c r="V35" s="28">
        <f t="shared" si="17"/>
        <v>0.10273567510524056</v>
      </c>
      <c r="W35" s="28">
        <f t="shared" si="17"/>
        <v>0.17489269507179897</v>
      </c>
      <c r="X35" s="28">
        <f t="shared" si="17"/>
        <v>0.14114251974574174</v>
      </c>
      <c r="Y35" s="28">
        <f t="shared" si="17"/>
        <v>3.1358498171967487E-2</v>
      </c>
      <c r="Z35" s="28">
        <f t="shared" si="17"/>
        <v>2.8977887800144257E-2</v>
      </c>
      <c r="AA35" s="28">
        <f t="shared" si="17"/>
        <v>4.9822064056939501E-2</v>
      </c>
      <c r="AB35" s="28">
        <f t="shared" si="17"/>
        <v>2.4077046548956663E-2</v>
      </c>
      <c r="AC35" s="28">
        <f t="shared" si="17"/>
        <v>1.614987080103359E-2</v>
      </c>
      <c r="AD35" s="28">
        <f t="shared" ref="AD35" si="18">AD12/AD6</f>
        <v>8.870967741935484E-3</v>
      </c>
      <c r="AE35" s="28"/>
      <c r="AF35" s="1"/>
    </row>
    <row r="36" spans="1:32" x14ac:dyDescent="0.3">
      <c r="A36" s="18" t="s">
        <v>76</v>
      </c>
      <c r="B36" s="17" t="s">
        <v>37</v>
      </c>
      <c r="C36" s="6" t="s">
        <v>56</v>
      </c>
      <c r="D36" s="29" t="e">
        <f t="shared" ref="D36:H36" si="19">D26/D12</f>
        <v>#DIV/0!</v>
      </c>
      <c r="E36" s="29" t="e">
        <f t="shared" si="19"/>
        <v>#DIV/0!</v>
      </c>
      <c r="F36" s="29" t="e">
        <f t="shared" si="19"/>
        <v>#DIV/0!</v>
      </c>
      <c r="G36" s="29" t="e">
        <f t="shared" si="19"/>
        <v>#DIV/0!</v>
      </c>
      <c r="H36" s="29" t="e">
        <f t="shared" si="19"/>
        <v>#DIV/0!</v>
      </c>
      <c r="I36" s="29">
        <f t="shared" ref="I36:AC36" si="20">IF(I26/I12&lt;0,0,I26/I12)</f>
        <v>57.19983598613338</v>
      </c>
      <c r="J36" s="29">
        <f t="shared" si="20"/>
        <v>5.1268529911525169</v>
      </c>
      <c r="K36" s="29">
        <f t="shared" si="20"/>
        <v>6.3164565691235612</v>
      </c>
      <c r="L36" s="29">
        <f t="shared" si="20"/>
        <v>1.0132117812763468</v>
      </c>
      <c r="M36" s="29">
        <f t="shared" si="20"/>
        <v>13.560275424260839</v>
      </c>
      <c r="N36" s="29">
        <f t="shared" si="20"/>
        <v>13.788</v>
      </c>
      <c r="O36" s="29">
        <f t="shared" si="20"/>
        <v>3.8022142631017557</v>
      </c>
      <c r="P36" s="29">
        <f t="shared" si="20"/>
        <v>7.307519492533368</v>
      </c>
      <c r="Q36" s="29">
        <f t="shared" si="20"/>
        <v>1.9279098601907376</v>
      </c>
      <c r="R36" s="29">
        <f t="shared" si="20"/>
        <v>0.51167789648395889</v>
      </c>
      <c r="S36" s="29">
        <f t="shared" si="20"/>
        <v>0.62905380146621159</v>
      </c>
      <c r="T36" s="29">
        <f t="shared" si="20"/>
        <v>0.29071065153802728</v>
      </c>
      <c r="U36" s="29">
        <f t="shared" si="20"/>
        <v>1.8014872177726322</v>
      </c>
      <c r="V36" s="29">
        <f t="shared" si="20"/>
        <v>1.6729155978594794</v>
      </c>
      <c r="W36" s="29">
        <f t="shared" si="20"/>
        <v>2.5178538603609217</v>
      </c>
      <c r="X36" s="29">
        <f t="shared" si="20"/>
        <v>3.7254775023910236</v>
      </c>
      <c r="Y36" s="29">
        <f t="shared" si="20"/>
        <v>16.385767790262172</v>
      </c>
      <c r="Z36" s="29">
        <f t="shared" si="20"/>
        <v>12.320566991548846</v>
      </c>
      <c r="AA36" s="29">
        <f t="shared" si="20"/>
        <v>10.414285714285715</v>
      </c>
      <c r="AB36" s="29">
        <f t="shared" si="20"/>
        <v>30.027726666666666</v>
      </c>
      <c r="AC36" s="29">
        <f t="shared" si="20"/>
        <v>27.648000000000003</v>
      </c>
      <c r="AD36" s="29">
        <f t="shared" ref="AD36" si="21">IF(AD26/AD12&lt;0,0,AD26/AD12)</f>
        <v>53.681581818181812</v>
      </c>
      <c r="AE36" s="29"/>
      <c r="AF36" s="1"/>
    </row>
    <row r="37" spans="1:32" x14ac:dyDescent="0.3">
      <c r="A37" s="16" t="s">
        <v>77</v>
      </c>
      <c r="B37" s="2" t="s">
        <v>38</v>
      </c>
      <c r="C37" s="1" t="s">
        <v>57</v>
      </c>
      <c r="D37" s="30" t="e">
        <f t="shared" ref="D37:AC37" si="22">D26/D23</f>
        <v>#DIV/0!</v>
      </c>
      <c r="E37" s="30" t="e">
        <f t="shared" si="22"/>
        <v>#DIV/0!</v>
      </c>
      <c r="F37" s="30" t="e">
        <f t="shared" si="22"/>
        <v>#DIV/0!</v>
      </c>
      <c r="G37" s="30" t="e">
        <f t="shared" si="22"/>
        <v>#DIV/0!</v>
      </c>
      <c r="H37" s="30" t="e">
        <f t="shared" si="22"/>
        <v>#DIV/0!</v>
      </c>
      <c r="I37" s="30">
        <f t="shared" si="22"/>
        <v>0.43887120438613808</v>
      </c>
      <c r="J37" s="30">
        <f t="shared" si="22"/>
        <v>0.41640308241390317</v>
      </c>
      <c r="K37" s="30">
        <f t="shared" si="22"/>
        <v>0.31348934786070815</v>
      </c>
      <c r="L37" s="20">
        <f t="shared" si="22"/>
        <v>3.5625912089323399E-2</v>
      </c>
      <c r="M37" s="30">
        <f t="shared" si="22"/>
        <v>0.35182562097547865</v>
      </c>
      <c r="N37" s="30">
        <f t="shared" si="22"/>
        <v>0.55152000000000001</v>
      </c>
      <c r="O37" s="30">
        <f t="shared" si="22"/>
        <v>0.50146960271518071</v>
      </c>
      <c r="P37" s="30">
        <f t="shared" si="22"/>
        <v>0.48461586515395283</v>
      </c>
      <c r="Q37" s="30">
        <f t="shared" si="22"/>
        <v>0.38116973926732861</v>
      </c>
      <c r="R37" s="30">
        <f t="shared" si="22"/>
        <v>0.22302385730793142</v>
      </c>
      <c r="S37" s="30">
        <f t="shared" si="22"/>
        <v>0.24987973203068398</v>
      </c>
      <c r="T37" s="30">
        <f t="shared" si="22"/>
        <v>8.071524219211465E-2</v>
      </c>
      <c r="U37" s="30">
        <f t="shared" si="22"/>
        <v>0.25518561627560254</v>
      </c>
      <c r="V37" s="30">
        <f t="shared" si="22"/>
        <v>0.24283311928554574</v>
      </c>
      <c r="W37" s="30">
        <f t="shared" si="22"/>
        <v>0.48983054429708622</v>
      </c>
      <c r="X37" s="30">
        <f t="shared" si="22"/>
        <v>0.51673505539039777</v>
      </c>
      <c r="Y37" s="30">
        <f t="shared" si="22"/>
        <v>0.47457627118644063</v>
      </c>
      <c r="Z37" s="30">
        <f t="shared" si="22"/>
        <v>0.24472573839662448</v>
      </c>
      <c r="AA37" s="30">
        <f t="shared" si="22"/>
        <v>0.33471074380165289</v>
      </c>
      <c r="AB37" s="30">
        <f t="shared" si="22"/>
        <v>0.42412043314500941</v>
      </c>
      <c r="AC37" s="30">
        <f t="shared" si="22"/>
        <v>0.33040152963671132</v>
      </c>
      <c r="AD37" s="30">
        <f t="shared" ref="AD37" si="23">AD26/AD23</f>
        <v>0.3311819405496354</v>
      </c>
      <c r="AE37" s="30"/>
      <c r="AF37" s="1"/>
    </row>
    <row r="38" spans="1:32" x14ac:dyDescent="0.3">
      <c r="A38" s="18" t="s">
        <v>78</v>
      </c>
      <c r="B38" s="17" t="s">
        <v>39</v>
      </c>
      <c r="C38" s="6" t="s">
        <v>106</v>
      </c>
      <c r="D38" s="55" t="e">
        <f t="shared" ref="D38:AC38" si="24">D8/D23</f>
        <v>#DIV/0!</v>
      </c>
      <c r="E38" s="55" t="e">
        <f t="shared" si="24"/>
        <v>#DIV/0!</v>
      </c>
      <c r="F38" s="55" t="e">
        <f t="shared" si="24"/>
        <v>#DIV/0!</v>
      </c>
      <c r="G38" s="55" t="e">
        <f t="shared" si="24"/>
        <v>#DIV/0!</v>
      </c>
      <c r="H38" s="55" t="e">
        <f t="shared" si="24"/>
        <v>#DIV/0!</v>
      </c>
      <c r="I38" s="55">
        <f t="shared" si="24"/>
        <v>4.7599436002596904E-2</v>
      </c>
      <c r="J38" s="55">
        <f t="shared" si="24"/>
        <v>0.22077916155058197</v>
      </c>
      <c r="K38" s="55">
        <f t="shared" si="24"/>
        <v>0.1120417254495297</v>
      </c>
      <c r="L38" s="55">
        <f t="shared" si="24"/>
        <v>-0.21366904671216813</v>
      </c>
      <c r="M38" s="55">
        <f t="shared" si="24"/>
        <v>8.8360526920111135E-2</v>
      </c>
      <c r="N38" s="55">
        <f t="shared" si="24"/>
        <v>0.1</v>
      </c>
      <c r="O38" s="55">
        <f t="shared" si="24"/>
        <v>0.11690948371834982</v>
      </c>
      <c r="P38" s="55">
        <f t="shared" si="24"/>
        <v>0.35971874611534321</v>
      </c>
      <c r="Q38" s="55">
        <f t="shared" si="24"/>
        <v>0.50444194105990225</v>
      </c>
      <c r="R38" s="55">
        <f t="shared" si="24"/>
        <v>0.73888009325392079</v>
      </c>
      <c r="S38" s="55">
        <f t="shared" si="24"/>
        <v>0.60128200049014868</v>
      </c>
      <c r="T38" s="55">
        <f t="shared" si="24"/>
        <v>0.52350040797087027</v>
      </c>
      <c r="U38" s="55">
        <f t="shared" si="24"/>
        <v>0.31059607518000759</v>
      </c>
      <c r="V38" s="55">
        <f t="shared" si="24"/>
        <v>0.33634367092114176</v>
      </c>
      <c r="W38" s="55">
        <f t="shared" si="24"/>
        <v>0.34389540493648124</v>
      </c>
      <c r="X38" s="55">
        <f t="shared" si="24"/>
        <v>0.25267458511528296</v>
      </c>
      <c r="Y38" s="55">
        <f t="shared" si="24"/>
        <v>0.11313819679849341</v>
      </c>
      <c r="Z38" s="55">
        <f t="shared" si="24"/>
        <v>9.2858874824191279E-2</v>
      </c>
      <c r="AA38" s="55">
        <f t="shared" si="24"/>
        <v>0.11065197428833792</v>
      </c>
      <c r="AB38" s="55">
        <f t="shared" si="24"/>
        <v>9.03954802259887E-2</v>
      </c>
      <c r="AC38" s="55">
        <f t="shared" si="24"/>
        <v>7.5525812619502877E-2</v>
      </c>
      <c r="AD38" s="55">
        <f t="shared" ref="AD38" si="25">AD8/AD23</f>
        <v>3.7016264722378012E-2</v>
      </c>
      <c r="AE38" s="55"/>
      <c r="AF38" s="1"/>
    </row>
    <row r="39" spans="1:32" x14ac:dyDescent="0.3">
      <c r="A39" s="16" t="s">
        <v>79</v>
      </c>
      <c r="B39" s="2" t="s">
        <v>40</v>
      </c>
      <c r="C39" s="1" t="s">
        <v>107</v>
      </c>
      <c r="D39" s="56" t="e">
        <f t="shared" ref="D39:AC39" si="26">D12/D23</f>
        <v>#DIV/0!</v>
      </c>
      <c r="E39" s="56" t="e">
        <f t="shared" si="26"/>
        <v>#DIV/0!</v>
      </c>
      <c r="F39" s="56" t="e">
        <f t="shared" si="26"/>
        <v>#DIV/0!</v>
      </c>
      <c r="G39" s="56" t="e">
        <f t="shared" si="26"/>
        <v>#DIV/0!</v>
      </c>
      <c r="H39" s="56" t="e">
        <f t="shared" si="26"/>
        <v>#DIV/0!</v>
      </c>
      <c r="I39" s="56">
        <f t="shared" si="26"/>
        <v>7.6725955034649233E-3</v>
      </c>
      <c r="J39" s="56">
        <f t="shared" si="26"/>
        <v>8.1220016086378119E-2</v>
      </c>
      <c r="K39" s="56">
        <f t="shared" si="26"/>
        <v>4.9630571259386698E-2</v>
      </c>
      <c r="L39" s="56">
        <f t="shared" si="26"/>
        <v>3.5161367788721622E-2</v>
      </c>
      <c r="M39" s="56">
        <f t="shared" si="26"/>
        <v>2.5945315265943902E-2</v>
      </c>
      <c r="N39" s="56">
        <f t="shared" si="26"/>
        <v>0.04</v>
      </c>
      <c r="O39" s="56">
        <f t="shared" si="26"/>
        <v>0.13188883319429082</v>
      </c>
      <c r="P39" s="56">
        <f t="shared" si="26"/>
        <v>6.6317423531900344E-2</v>
      </c>
      <c r="Q39" s="56">
        <f t="shared" si="26"/>
        <v>0.19771139052612013</v>
      </c>
      <c r="R39" s="56">
        <f t="shared" si="26"/>
        <v>0.43586767933588716</v>
      </c>
      <c r="S39" s="56">
        <f t="shared" si="26"/>
        <v>0.39723109763943742</v>
      </c>
      <c r="T39" s="56">
        <f t="shared" si="26"/>
        <v>0.27764803857404047</v>
      </c>
      <c r="U39" s="56">
        <f t="shared" si="26"/>
        <v>0.1416527487722701</v>
      </c>
      <c r="V39" s="56">
        <f t="shared" si="26"/>
        <v>0.14515563104095291</v>
      </c>
      <c r="W39" s="56">
        <f t="shared" si="26"/>
        <v>0.19454288114516363</v>
      </c>
      <c r="X39" s="56">
        <f t="shared" si="26"/>
        <v>0.1387030400958684</v>
      </c>
      <c r="Y39" s="56">
        <f t="shared" si="26"/>
        <v>2.8962711864406777E-2</v>
      </c>
      <c r="Z39" s="56">
        <f t="shared" si="26"/>
        <v>1.9863187998124709E-2</v>
      </c>
      <c r="AA39" s="56">
        <f t="shared" si="26"/>
        <v>3.2139577594123045E-2</v>
      </c>
      <c r="AB39" s="56">
        <f t="shared" si="26"/>
        <v>1.4124293785310734E-2</v>
      </c>
      <c r="AC39" s="56">
        <f t="shared" si="26"/>
        <v>1.1950286806883367E-2</v>
      </c>
      <c r="AD39" s="56">
        <f t="shared" ref="AD39" si="27">AD12/AD23</f>
        <v>6.1693774537296695E-3</v>
      </c>
      <c r="AE39" s="56"/>
      <c r="AF39" s="1"/>
    </row>
    <row r="40" spans="1:32" x14ac:dyDescent="0.3">
      <c r="A40" s="18" t="s">
        <v>80</v>
      </c>
      <c r="B40" s="17" t="s">
        <v>41</v>
      </c>
      <c r="C40" s="6" t="s">
        <v>61</v>
      </c>
      <c r="D40" s="7">
        <f t="shared" ref="D40:AC40" si="28">D20-D19</f>
        <v>0</v>
      </c>
      <c r="E40" s="7">
        <f t="shared" si="28"/>
        <v>0</v>
      </c>
      <c r="F40" s="7">
        <f t="shared" si="28"/>
        <v>0</v>
      </c>
      <c r="G40" s="7">
        <f t="shared" si="28"/>
        <v>0</v>
      </c>
      <c r="H40" s="7">
        <f t="shared" si="28"/>
        <v>0</v>
      </c>
      <c r="I40" s="7">
        <f t="shared" si="28"/>
        <v>-7.323499999999683E-2</v>
      </c>
      <c r="J40" s="7">
        <f t="shared" si="28"/>
        <v>6.2031503999999984</v>
      </c>
      <c r="K40" s="7">
        <f t="shared" si="28"/>
        <v>10.354069500000001</v>
      </c>
      <c r="L40" s="7">
        <f t="shared" si="28"/>
        <v>19.689605</v>
      </c>
      <c r="M40" s="7">
        <f t="shared" si="28"/>
        <v>12.099767999999997</v>
      </c>
      <c r="N40" s="7">
        <f t="shared" si="28"/>
        <v>10</v>
      </c>
      <c r="O40" s="7">
        <f t="shared" si="28"/>
        <v>7.0465099999999978</v>
      </c>
      <c r="P40" s="7">
        <f t="shared" si="28"/>
        <v>15.688782000000003</v>
      </c>
      <c r="Q40" s="7">
        <f t="shared" si="28"/>
        <v>41.478689000000003</v>
      </c>
      <c r="R40" s="7">
        <f t="shared" si="28"/>
        <v>79.961541999999994</v>
      </c>
      <c r="S40" s="7">
        <f t="shared" si="28"/>
        <v>68.464903999999962</v>
      </c>
      <c r="T40" s="7">
        <f t="shared" si="28"/>
        <v>101.32637500000001</v>
      </c>
      <c r="U40" s="7">
        <f t="shared" si="28"/>
        <v>116.83894399999997</v>
      </c>
      <c r="V40" s="7">
        <f t="shared" si="28"/>
        <v>136.93432599999997</v>
      </c>
      <c r="W40" s="7">
        <f t="shared" si="28"/>
        <v>153.01852000000002</v>
      </c>
      <c r="X40" s="7">
        <f t="shared" si="28"/>
        <v>167.667665</v>
      </c>
      <c r="Y40" s="7">
        <f t="shared" si="28"/>
        <v>190.397378</v>
      </c>
      <c r="Z40" s="7">
        <f t="shared" si="28"/>
        <v>182.68389300000004</v>
      </c>
      <c r="AA40" s="7">
        <f t="shared" si="28"/>
        <v>123.10000000000002</v>
      </c>
      <c r="AB40" s="7">
        <f t="shared" si="28"/>
        <v>100.89999999999999</v>
      </c>
      <c r="AC40" s="7">
        <f t="shared" si="28"/>
        <v>97.4</v>
      </c>
      <c r="AD40" s="7">
        <f t="shared" ref="AD40" si="29">AD20-AD19</f>
        <v>75.200000000000017</v>
      </c>
      <c r="AE40" s="7"/>
      <c r="AF40" s="1"/>
    </row>
    <row r="41" spans="1:32" x14ac:dyDescent="0.3">
      <c r="A41" s="53" t="s">
        <v>96</v>
      </c>
      <c r="B41" s="49" t="s">
        <v>42</v>
      </c>
      <c r="C41" s="52" t="s">
        <v>98</v>
      </c>
      <c r="D41" s="29" t="e">
        <f>D20/D19</f>
        <v>#DIV/0!</v>
      </c>
      <c r="E41" s="29" t="e">
        <f t="shared" ref="E41:AC41" si="30">E20/E19</f>
        <v>#DIV/0!</v>
      </c>
      <c r="F41" s="29" t="e">
        <f t="shared" si="30"/>
        <v>#DIV/0!</v>
      </c>
      <c r="G41" s="29" t="e">
        <f t="shared" si="30"/>
        <v>#DIV/0!</v>
      </c>
      <c r="H41" s="29" t="e">
        <f t="shared" si="30"/>
        <v>#DIV/0!</v>
      </c>
      <c r="I41" s="29">
        <f t="shared" si="30"/>
        <v>0.99851870145730981</v>
      </c>
      <c r="J41" s="29">
        <f t="shared" si="30"/>
        <v>1.1312349591468898</v>
      </c>
      <c r="K41" s="29">
        <f t="shared" si="30"/>
        <v>1.2364954393163377</v>
      </c>
      <c r="L41" s="29">
        <f t="shared" si="30"/>
        <v>1.5452614129532507</v>
      </c>
      <c r="M41" s="29">
        <f t="shared" si="30"/>
        <v>1.3056419915892783</v>
      </c>
      <c r="N41" s="29">
        <f t="shared" si="30"/>
        <v>1.1923076923076923</v>
      </c>
      <c r="O41" s="29">
        <f t="shared" si="30"/>
        <v>1.1091329624939663</v>
      </c>
      <c r="P41" s="29">
        <f t="shared" si="30"/>
        <v>1.221951781879242</v>
      </c>
      <c r="Q41" s="29">
        <f t="shared" si="30"/>
        <v>1.5457925400933674</v>
      </c>
      <c r="R41" s="29">
        <f t="shared" si="30"/>
        <v>1.8441683638740576</v>
      </c>
      <c r="S41" s="29">
        <f t="shared" si="30"/>
        <v>1.3589973627172023</v>
      </c>
      <c r="T41" s="29">
        <f t="shared" si="30"/>
        <v>1.4579470935896837</v>
      </c>
      <c r="U41" s="29">
        <f t="shared" si="30"/>
        <v>1.4564230473611748</v>
      </c>
      <c r="V41" s="29">
        <f t="shared" si="30"/>
        <v>1.652924090600552</v>
      </c>
      <c r="W41" s="29">
        <f t="shared" si="30"/>
        <v>1.848671222969301</v>
      </c>
      <c r="X41" s="29">
        <f t="shared" si="30"/>
        <v>1.6347090025195803</v>
      </c>
      <c r="Y41" s="29">
        <f t="shared" si="30"/>
        <v>1.9243316271800741</v>
      </c>
      <c r="Z41" s="29">
        <f t="shared" si="30"/>
        <v>2.141474972304295</v>
      </c>
      <c r="AA41" s="29">
        <f t="shared" si="30"/>
        <v>1.7014245014245015</v>
      </c>
      <c r="AB41" s="29">
        <f t="shared" si="30"/>
        <v>2.0598739495798317</v>
      </c>
      <c r="AC41" s="29">
        <f t="shared" si="30"/>
        <v>1.8440207972270364</v>
      </c>
      <c r="AD41" s="29">
        <f t="shared" ref="AD41" si="31">AD20/AD19</f>
        <v>1.5736079328756676</v>
      </c>
      <c r="AE41" s="29"/>
      <c r="AF41" s="1"/>
    </row>
    <row r="42" spans="1:32" x14ac:dyDescent="0.3">
      <c r="A42" s="16" t="s">
        <v>81</v>
      </c>
      <c r="B42" s="17" t="s">
        <v>43</v>
      </c>
      <c r="C42" s="1" t="s">
        <v>60</v>
      </c>
      <c r="D42" s="30" t="e">
        <f t="shared" ref="D42:AC42" si="32">(D20-D21)/D19</f>
        <v>#DIV/0!</v>
      </c>
      <c r="E42" s="30" t="e">
        <f t="shared" si="32"/>
        <v>#DIV/0!</v>
      </c>
      <c r="F42" s="30" t="e">
        <f t="shared" si="32"/>
        <v>#DIV/0!</v>
      </c>
      <c r="G42" s="30" t="e">
        <f t="shared" si="32"/>
        <v>#DIV/0!</v>
      </c>
      <c r="H42" s="30" t="e">
        <f t="shared" si="32"/>
        <v>#DIV/0!</v>
      </c>
      <c r="I42" s="30">
        <f t="shared" si="32"/>
        <v>0.76723032265750646</v>
      </c>
      <c r="J42" s="30">
        <f t="shared" si="32"/>
        <v>0.84059293999272011</v>
      </c>
      <c r="K42" s="30">
        <f t="shared" si="32"/>
        <v>0.96145651570369206</v>
      </c>
      <c r="L42" s="30">
        <f t="shared" si="32"/>
        <v>1.3855095464893141</v>
      </c>
      <c r="M42" s="30">
        <f t="shared" si="32"/>
        <v>1.1390074305771425</v>
      </c>
      <c r="N42" s="30">
        <f t="shared" si="32"/>
        <v>1.0384615384615385</v>
      </c>
      <c r="O42" s="30">
        <f t="shared" si="32"/>
        <v>0.97147652654209316</v>
      </c>
      <c r="P42" s="30">
        <f t="shared" si="32"/>
        <v>1.0977399876200993</v>
      </c>
      <c r="Q42" s="30">
        <f t="shared" si="32"/>
        <v>1.4445313365677783</v>
      </c>
      <c r="R42" s="30">
        <f t="shared" si="32"/>
        <v>1.6836014631744247</v>
      </c>
      <c r="S42" s="30">
        <f t="shared" si="32"/>
        <v>1.2847548579151831</v>
      </c>
      <c r="T42" s="30">
        <f t="shared" si="32"/>
        <v>1.4147250764303667</v>
      </c>
      <c r="U42" s="30">
        <f t="shared" si="32"/>
        <v>1.4191392015567588</v>
      </c>
      <c r="V42" s="30">
        <f t="shared" si="32"/>
        <v>1.6031605496053907</v>
      </c>
      <c r="W42" s="30">
        <f t="shared" si="32"/>
        <v>1.7806919727876171</v>
      </c>
      <c r="X42" s="30">
        <f t="shared" si="32"/>
        <v>1.5826002879174312</v>
      </c>
      <c r="Y42" s="30">
        <f t="shared" si="32"/>
        <v>1.8628386139417541</v>
      </c>
      <c r="Z42" s="30">
        <f t="shared" si="32"/>
        <v>2.0579750019433969</v>
      </c>
      <c r="AA42" s="30">
        <f t="shared" si="32"/>
        <v>1.6381766381766383</v>
      </c>
      <c r="AB42" s="30">
        <f t="shared" si="32"/>
        <v>1.9180672268907561</v>
      </c>
      <c r="AC42" s="30">
        <f t="shared" si="32"/>
        <v>1.7339688041594454</v>
      </c>
      <c r="AD42" s="30">
        <f t="shared" ref="AD42" si="33">(AD20-AD21)/AD19</f>
        <v>1.4698703279938981</v>
      </c>
      <c r="AE42" s="30"/>
      <c r="AF42" s="1"/>
    </row>
    <row r="43" spans="1:32" x14ac:dyDescent="0.3">
      <c r="A43" s="18" t="s">
        <v>82</v>
      </c>
      <c r="B43" s="49" t="s">
        <v>44</v>
      </c>
      <c r="C43" s="6" t="s">
        <v>62</v>
      </c>
      <c r="D43" s="29" t="e">
        <f t="shared" ref="D43:AC43" si="34">D14/D19</f>
        <v>#DIV/0!</v>
      </c>
      <c r="E43" s="29" t="e">
        <f t="shared" si="34"/>
        <v>#DIV/0!</v>
      </c>
      <c r="F43" s="29" t="e">
        <f t="shared" si="34"/>
        <v>#DIV/0!</v>
      </c>
      <c r="G43" s="29" t="e">
        <f t="shared" si="34"/>
        <v>#DIV/0!</v>
      </c>
      <c r="H43" s="29" t="e">
        <f t="shared" si="34"/>
        <v>#DIV/0!</v>
      </c>
      <c r="I43" s="29">
        <f t="shared" si="34"/>
        <v>5.9110355173865236E-3</v>
      </c>
      <c r="J43" s="29">
        <f t="shared" si="34"/>
        <v>6.8715057265015941E-3</v>
      </c>
      <c r="K43" s="29">
        <f t="shared" si="34"/>
        <v>5.3455878901626071E-2</v>
      </c>
      <c r="L43" s="29">
        <f t="shared" si="34"/>
        <v>3.677669546400697E-2</v>
      </c>
      <c r="M43" s="29">
        <f t="shared" si="34"/>
        <v>7.4862732539285465E-2</v>
      </c>
      <c r="N43" s="29">
        <f t="shared" si="34"/>
        <v>9.1346153846153841E-2</v>
      </c>
      <c r="O43" s="29">
        <f t="shared" si="34"/>
        <v>0.10068249162845354</v>
      </c>
      <c r="P43" s="29">
        <f t="shared" si="34"/>
        <v>0.1111579225069817</v>
      </c>
      <c r="Q43" s="29">
        <f t="shared" si="34"/>
        <v>0.29784315260893068</v>
      </c>
      <c r="R43" s="29">
        <f t="shared" si="34"/>
        <v>0.81145589757204717</v>
      </c>
      <c r="S43" s="29">
        <f t="shared" si="34"/>
        <v>0.1157180345342681</v>
      </c>
      <c r="T43" s="29">
        <f t="shared" si="34"/>
        <v>7.8745967916994175E-2</v>
      </c>
      <c r="U43" s="29">
        <f t="shared" si="34"/>
        <v>0.1735833671906796</v>
      </c>
      <c r="V43" s="29">
        <f t="shared" si="34"/>
        <v>0.31174197361926698</v>
      </c>
      <c r="W43" s="29">
        <f t="shared" si="34"/>
        <v>0.21331644582172105</v>
      </c>
      <c r="X43" s="29">
        <f t="shared" si="34"/>
        <v>0.44711346361047949</v>
      </c>
      <c r="Y43" s="29">
        <f t="shared" si="34"/>
        <v>0.64182316438027376</v>
      </c>
      <c r="Z43" s="29">
        <f t="shared" si="34"/>
        <v>0.59898033866255862</v>
      </c>
      <c r="AA43" s="29">
        <f t="shared" si="34"/>
        <v>0.51623931623931618</v>
      </c>
      <c r="AB43" s="29">
        <f t="shared" si="34"/>
        <v>0.12815126050420167</v>
      </c>
      <c r="AC43" s="29">
        <f t="shared" si="34"/>
        <v>8.8388214904679366E-2</v>
      </c>
      <c r="AD43" s="29">
        <f t="shared" ref="AD43" si="35">AD14/AD19</f>
        <v>6.7124332570556833E-2</v>
      </c>
      <c r="AE43" s="29"/>
      <c r="AF43" s="1"/>
    </row>
    <row r="44" spans="1:32" x14ac:dyDescent="0.3">
      <c r="A44" s="16" t="s">
        <v>83</v>
      </c>
      <c r="B44" s="17" t="s">
        <v>45</v>
      </c>
      <c r="C44" s="1" t="s">
        <v>63</v>
      </c>
      <c r="D44" s="30" t="e">
        <f t="shared" ref="D44:AC44" si="36">D29/D7</f>
        <v>#DIV/0!</v>
      </c>
      <c r="E44" s="30" t="e">
        <f t="shared" si="36"/>
        <v>#DIV/0!</v>
      </c>
      <c r="F44" s="30" t="e">
        <f t="shared" si="36"/>
        <v>#DIV/0!</v>
      </c>
      <c r="G44" s="30" t="e">
        <f t="shared" si="36"/>
        <v>#DIV/0!</v>
      </c>
      <c r="H44" s="30" t="e">
        <f t="shared" si="36"/>
        <v>#DIV/0!</v>
      </c>
      <c r="I44" s="30">
        <f t="shared" si="36"/>
        <v>4.5599737646882188</v>
      </c>
      <c r="J44" s="30">
        <f t="shared" si="36"/>
        <v>4.4248055802686448</v>
      </c>
      <c r="K44" s="30">
        <f t="shared" si="36"/>
        <v>5.5112891971570939</v>
      </c>
      <c r="L44" s="30">
        <f t="shared" si="36"/>
        <v>-6.9612587644323138</v>
      </c>
      <c r="M44" s="30">
        <f t="shared" si="36"/>
        <v>4.0370440644546877</v>
      </c>
      <c r="N44" s="30">
        <f t="shared" si="36"/>
        <v>2.125</v>
      </c>
      <c r="O44" s="30">
        <f t="shared" si="36"/>
        <v>1.3554962962962962</v>
      </c>
      <c r="P44" s="30">
        <f t="shared" si="36"/>
        <v>1.0002812927284028</v>
      </c>
      <c r="Q44" s="30">
        <f t="shared" si="36"/>
        <v>-0.33131542332194347</v>
      </c>
      <c r="R44" s="30">
        <f t="shared" si="36"/>
        <v>-1.2764729766553091</v>
      </c>
      <c r="S44" s="30">
        <f t="shared" si="36"/>
        <v>-6.9423695524419279E-2</v>
      </c>
      <c r="T44" s="30">
        <f t="shared" si="36"/>
        <v>2.6134751488393906E-2</v>
      </c>
      <c r="U44" s="30">
        <f t="shared" si="36"/>
        <v>0.11891812598719932</v>
      </c>
      <c r="V44" s="30">
        <f t="shared" si="36"/>
        <v>-0.26034987642456614</v>
      </c>
      <c r="W44" s="30">
        <f t="shared" si="36"/>
        <v>-8.9986748594741275E-2</v>
      </c>
      <c r="X44" s="30">
        <f t="shared" si="36"/>
        <v>0.16948686537266672</v>
      </c>
      <c r="Y44" s="30">
        <f t="shared" si="36"/>
        <v>0.69088726028857506</v>
      </c>
      <c r="Z44" s="30">
        <f t="shared" si="36"/>
        <v>1.2193953348857463</v>
      </c>
      <c r="AA44" s="30">
        <f t="shared" si="36"/>
        <v>0.58048780487804907</v>
      </c>
      <c r="AB44" s="30">
        <f t="shared" si="36"/>
        <v>1.0114285714285716</v>
      </c>
      <c r="AC44" s="30">
        <f t="shared" si="36"/>
        <v>1.9482758620689655</v>
      </c>
      <c r="AD44" s="30">
        <f t="shared" ref="AD44" si="37">AD29/AD7</f>
        <v>6.6448598130841132</v>
      </c>
      <c r="AE44" s="30"/>
      <c r="AF44" s="1"/>
    </row>
    <row r="45" spans="1:32" x14ac:dyDescent="0.3">
      <c r="A45" s="18" t="s">
        <v>84</v>
      </c>
      <c r="B45" s="54" t="s">
        <v>99</v>
      </c>
      <c r="C45" s="6" t="s">
        <v>64</v>
      </c>
      <c r="D45" s="29" t="e">
        <f t="shared" ref="D45:AC45" si="38">D18/D23</f>
        <v>#DIV/0!</v>
      </c>
      <c r="E45" s="29" t="e">
        <f t="shared" si="38"/>
        <v>#DIV/0!</v>
      </c>
      <c r="F45" s="29" t="e">
        <f t="shared" si="38"/>
        <v>#DIV/0!</v>
      </c>
      <c r="G45" s="29" t="e">
        <f t="shared" si="38"/>
        <v>#DIV/0!</v>
      </c>
      <c r="H45" s="29" t="e">
        <f t="shared" si="38"/>
        <v>#DIV/0!</v>
      </c>
      <c r="I45" s="29">
        <f t="shared" si="38"/>
        <v>3.8702609345997536</v>
      </c>
      <c r="J45" s="29">
        <f t="shared" si="38"/>
        <v>3.7788857331116659</v>
      </c>
      <c r="K45" s="29">
        <f t="shared" si="38"/>
        <v>2.5945998730446123</v>
      </c>
      <c r="L45" s="29">
        <f t="shared" si="38"/>
        <v>2.2100784825648545</v>
      </c>
      <c r="M45" s="29">
        <f t="shared" si="38"/>
        <v>1.99180971672</v>
      </c>
      <c r="N45" s="29">
        <f t="shared" si="38"/>
        <v>2.6</v>
      </c>
      <c r="O45" s="29">
        <f t="shared" si="38"/>
        <v>3.0711203408480303</v>
      </c>
      <c r="P45" s="29">
        <f t="shared" si="38"/>
        <v>3.2420937046001277</v>
      </c>
      <c r="Q45" s="29">
        <f t="shared" si="38"/>
        <v>3.1275376848173564</v>
      </c>
      <c r="R45" s="29">
        <f t="shared" si="38"/>
        <v>2.6153919789231188</v>
      </c>
      <c r="S45" s="29">
        <f t="shared" si="38"/>
        <v>2.2313718984612643</v>
      </c>
      <c r="T45" s="29">
        <f t="shared" si="38"/>
        <v>1.9371764248990977</v>
      </c>
      <c r="U45" s="29">
        <f t="shared" si="38"/>
        <v>1.927404951828682</v>
      </c>
      <c r="V45" s="29">
        <f t="shared" si="38"/>
        <v>1.3583575356497877</v>
      </c>
      <c r="W45" s="29">
        <f t="shared" si="38"/>
        <v>1.0695390600133712</v>
      </c>
      <c r="X45" s="29">
        <f t="shared" si="38"/>
        <v>1.3630996993274958</v>
      </c>
      <c r="Y45" s="29">
        <f t="shared" si="38"/>
        <v>1.3228160687382298</v>
      </c>
      <c r="Z45" s="29">
        <f t="shared" si="38"/>
        <v>1.0660941022034693</v>
      </c>
      <c r="AA45" s="29">
        <f t="shared" si="38"/>
        <v>1.0936639118457299</v>
      </c>
      <c r="AB45" s="29">
        <f t="shared" si="38"/>
        <v>0.63135593220338981</v>
      </c>
      <c r="AC45" s="29">
        <f t="shared" si="38"/>
        <v>0.77294455066921608</v>
      </c>
      <c r="AD45" s="29">
        <f t="shared" ref="AD45" si="39">AD18/AD23</f>
        <v>1.1149747616376893</v>
      </c>
      <c r="AE45" s="29"/>
      <c r="AF45" s="1"/>
    </row>
    <row r="46" spans="1:32" x14ac:dyDescent="0.3">
      <c r="A46" s="18" t="s">
        <v>97</v>
      </c>
      <c r="B46" s="17" t="s">
        <v>100</v>
      </c>
      <c r="C46" s="6" t="s">
        <v>111</v>
      </c>
      <c r="D46" s="28">
        <f t="shared" ref="D46:AE46" si="40">D13/D4</f>
        <v>0</v>
      </c>
      <c r="E46" s="28">
        <f t="shared" si="40"/>
        <v>0</v>
      </c>
      <c r="F46" s="28">
        <f t="shared" si="40"/>
        <v>0</v>
      </c>
      <c r="G46" s="28">
        <f t="shared" si="40"/>
        <v>0</v>
      </c>
      <c r="H46" s="28">
        <f t="shared" si="40"/>
        <v>0</v>
      </c>
      <c r="I46" s="28">
        <f t="shared" si="40"/>
        <v>0</v>
      </c>
      <c r="J46" s="28">
        <f t="shared" si="40"/>
        <v>0</v>
      </c>
      <c r="K46" s="28">
        <f t="shared" si="40"/>
        <v>4.1044776119402993E-2</v>
      </c>
      <c r="L46" s="28">
        <f t="shared" si="40"/>
        <v>0.37777777777777777</v>
      </c>
      <c r="M46" s="28">
        <f t="shared" si="40"/>
        <v>2.4444444444444446E-2</v>
      </c>
      <c r="N46" s="28">
        <f t="shared" si="40"/>
        <v>1.8276762402088774E-2</v>
      </c>
      <c r="O46" s="28">
        <f t="shared" si="40"/>
        <v>2.2193211488250653E-2</v>
      </c>
      <c r="P46" s="28">
        <f t="shared" si="40"/>
        <v>2.6041666666666668E-2</v>
      </c>
      <c r="Q46" s="28">
        <f t="shared" si="40"/>
        <v>5.3475935828877004E-2</v>
      </c>
      <c r="R46" s="28">
        <f t="shared" si="40"/>
        <v>0.26737967914438499</v>
      </c>
      <c r="S46" s="28">
        <f t="shared" si="40"/>
        <v>0.15384615384615385</v>
      </c>
      <c r="T46" s="28">
        <f t="shared" si="40"/>
        <v>0.27223230490018152</v>
      </c>
      <c r="U46" s="28">
        <f t="shared" si="40"/>
        <v>0.05</v>
      </c>
      <c r="V46" s="28">
        <f t="shared" si="40"/>
        <v>6.8181818181818177E-2</v>
      </c>
      <c r="W46" s="28">
        <f t="shared" si="40"/>
        <v>5.8823529411764705E-2</v>
      </c>
      <c r="X46" s="28">
        <f t="shared" si="40"/>
        <v>3.2786885245901641E-2</v>
      </c>
      <c r="Y46" s="28">
        <f t="shared" si="40"/>
        <v>8.9285714285714281E-3</v>
      </c>
      <c r="Z46" s="28">
        <f t="shared" si="40"/>
        <v>1.7241379310344827E-2</v>
      </c>
      <c r="AA46" s="28">
        <f t="shared" si="40"/>
        <v>3.7037037037037035E-2</v>
      </c>
      <c r="AB46" s="28">
        <f t="shared" si="40"/>
        <v>0</v>
      </c>
      <c r="AC46" s="28">
        <f t="shared" si="40"/>
        <v>0</v>
      </c>
      <c r="AD46" s="28">
        <f t="shared" si="40"/>
        <v>0</v>
      </c>
      <c r="AE46" s="28">
        <f t="shared" si="40"/>
        <v>0</v>
      </c>
      <c r="AF46" s="1"/>
    </row>
  </sheetData>
  <mergeCells count="3">
    <mergeCell ref="A6:A13"/>
    <mergeCell ref="A14:A23"/>
    <mergeCell ref="AB2:AE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210B2-C365-4765-89F0-8B7C5367A701}">
  <sheetPr codeName="Planilha11"/>
  <dimension ref="A3:AC46"/>
  <sheetViews>
    <sheetView workbookViewId="0">
      <pane xSplit="3" ySplit="3" topLeftCell="K4" activePane="bottomRight" state="frozen"/>
      <selection activeCell="C22" sqref="C22"/>
      <selection pane="topRight" activeCell="C22" sqref="C22"/>
      <selection pane="bottomLeft" activeCell="C22" sqref="C22"/>
      <selection pane="bottomRight" activeCell="AD40" sqref="AD40"/>
    </sheetView>
  </sheetViews>
  <sheetFormatPr defaultRowHeight="14.4" x14ac:dyDescent="0.3"/>
  <cols>
    <col min="1" max="1" width="10" bestFit="1" customWidth="1"/>
    <col min="2" max="2" width="4" bestFit="1" customWidth="1"/>
    <col min="3" max="3" width="27.6640625" bestFit="1" customWidth="1"/>
    <col min="4" max="27" width="8.33203125" customWidth="1"/>
  </cols>
  <sheetData>
    <row r="3" spans="1:29" s="10" customFormat="1" x14ac:dyDescent="0.3">
      <c r="A3" s="9" t="s">
        <v>25</v>
      </c>
      <c r="B3" s="8" t="s">
        <v>23</v>
      </c>
      <c r="C3" s="9" t="s">
        <v>24</v>
      </c>
      <c r="D3" s="8">
        <v>98</v>
      </c>
      <c r="E3" s="8">
        <v>99</v>
      </c>
      <c r="F3" s="8">
        <v>2000</v>
      </c>
      <c r="G3" s="8">
        <v>1</v>
      </c>
      <c r="H3" s="8">
        <v>2</v>
      </c>
      <c r="I3" s="8">
        <v>3</v>
      </c>
      <c r="J3" s="8">
        <v>4</v>
      </c>
      <c r="K3" s="8">
        <v>5</v>
      </c>
      <c r="L3" s="8">
        <v>6</v>
      </c>
      <c r="M3" s="8">
        <v>7</v>
      </c>
      <c r="N3" s="8">
        <v>8</v>
      </c>
      <c r="O3" s="8">
        <v>9</v>
      </c>
      <c r="P3" s="8">
        <v>10</v>
      </c>
      <c r="Q3" s="8">
        <v>11</v>
      </c>
      <c r="R3" s="8">
        <v>12</v>
      </c>
      <c r="S3" s="8">
        <v>13</v>
      </c>
      <c r="T3" s="8">
        <v>14</v>
      </c>
      <c r="U3" s="8">
        <v>15</v>
      </c>
      <c r="V3" s="8">
        <v>16</v>
      </c>
      <c r="W3" s="8">
        <v>17</v>
      </c>
      <c r="X3" s="8">
        <v>18</v>
      </c>
      <c r="Y3" s="8">
        <v>19</v>
      </c>
      <c r="Z3" s="8">
        <v>20</v>
      </c>
      <c r="AA3" s="8" t="s">
        <v>3</v>
      </c>
      <c r="AB3" s="8" t="s">
        <v>94</v>
      </c>
      <c r="AC3" s="8" t="s">
        <v>116</v>
      </c>
    </row>
    <row r="4" spans="1:29" x14ac:dyDescent="0.3">
      <c r="A4" s="4" t="s">
        <v>5</v>
      </c>
      <c r="B4" s="11">
        <v>1</v>
      </c>
      <c r="C4" s="6" t="s">
        <v>4</v>
      </c>
      <c r="D4" s="19">
        <v>1.72</v>
      </c>
      <c r="E4" s="19">
        <v>1.37</v>
      </c>
      <c r="F4" s="19">
        <v>1.07</v>
      </c>
      <c r="G4" s="19">
        <v>0.88</v>
      </c>
      <c r="H4" s="19">
        <v>0.8</v>
      </c>
      <c r="I4" s="19">
        <v>1.1499999999999999</v>
      </c>
      <c r="J4" s="19">
        <v>1.06</v>
      </c>
      <c r="K4" s="19">
        <v>1.48</v>
      </c>
      <c r="L4" s="19">
        <v>1.96</v>
      </c>
      <c r="M4" s="19">
        <v>1.96</v>
      </c>
      <c r="N4" s="19">
        <v>0.81</v>
      </c>
      <c r="O4" s="19">
        <v>0.94</v>
      </c>
      <c r="P4" s="19">
        <v>1.1599999999999999</v>
      </c>
      <c r="Q4" s="19">
        <v>1.35</v>
      </c>
      <c r="R4" s="19">
        <v>1.6</v>
      </c>
      <c r="S4" s="19">
        <v>2.21</v>
      </c>
      <c r="T4" s="19">
        <v>3.02</v>
      </c>
      <c r="U4" s="19">
        <v>5.95</v>
      </c>
      <c r="V4" s="19">
        <v>8.5</v>
      </c>
      <c r="W4" s="19">
        <v>10.3</v>
      </c>
      <c r="X4" s="19">
        <v>9</v>
      </c>
      <c r="Y4" s="19">
        <v>11.3</v>
      </c>
      <c r="Z4" s="19">
        <v>11.6</v>
      </c>
      <c r="AA4" s="19">
        <v>11.28</v>
      </c>
      <c r="AB4" s="19">
        <v>10.26</v>
      </c>
      <c r="AC4" s="19">
        <v>10.119999999999999</v>
      </c>
    </row>
    <row r="5" spans="1:29" x14ac:dyDescent="0.3">
      <c r="A5" s="5" t="s">
        <v>8</v>
      </c>
      <c r="B5" s="12">
        <v>3</v>
      </c>
      <c r="C5" s="1" t="s">
        <v>86</v>
      </c>
      <c r="D5" s="3">
        <v>71.5</v>
      </c>
      <c r="E5" s="3">
        <v>71.5</v>
      </c>
      <c r="F5" s="3">
        <v>133</v>
      </c>
      <c r="G5" s="3">
        <v>133</v>
      </c>
      <c r="H5" s="3">
        <v>133</v>
      </c>
      <c r="I5" s="3">
        <v>133</v>
      </c>
      <c r="J5" s="3">
        <v>133</v>
      </c>
      <c r="K5" s="3">
        <v>133</v>
      </c>
      <c r="L5" s="3">
        <v>133</v>
      </c>
      <c r="M5" s="3">
        <v>133</v>
      </c>
      <c r="N5" s="3">
        <v>133</v>
      </c>
      <c r="O5" s="3">
        <v>133</v>
      </c>
      <c r="P5" s="3">
        <v>127.1</v>
      </c>
      <c r="Q5" s="3">
        <v>126.2</v>
      </c>
      <c r="R5" s="3">
        <v>126.2</v>
      </c>
      <c r="S5" s="3">
        <v>125.6</v>
      </c>
      <c r="T5" s="3">
        <v>125.6</v>
      </c>
      <c r="U5" s="3">
        <v>125.6</v>
      </c>
      <c r="V5" s="3">
        <v>133</v>
      </c>
      <c r="W5" s="3">
        <v>133</v>
      </c>
      <c r="X5" s="3">
        <v>133</v>
      </c>
      <c r="Y5" s="3">
        <v>133</v>
      </c>
      <c r="Z5" s="3">
        <v>133</v>
      </c>
      <c r="AA5" s="3">
        <v>133</v>
      </c>
      <c r="AB5" s="3">
        <v>133</v>
      </c>
      <c r="AC5" s="3">
        <v>133</v>
      </c>
    </row>
    <row r="6" spans="1:29" x14ac:dyDescent="0.3">
      <c r="A6" s="101" t="s">
        <v>7</v>
      </c>
      <c r="B6" s="13">
        <v>4</v>
      </c>
      <c r="C6" s="6" t="s">
        <v>104</v>
      </c>
      <c r="D6" s="7">
        <v>361.43</v>
      </c>
      <c r="E6" s="7">
        <v>380.32</v>
      </c>
      <c r="F6" s="7">
        <v>460.76799999999997</v>
      </c>
      <c r="G6" s="7">
        <v>447.84899999999999</v>
      </c>
      <c r="H6" s="7">
        <v>441.05200000000002</v>
      </c>
      <c r="I6" s="7">
        <v>427.53899999999999</v>
      </c>
      <c r="J6" s="7">
        <v>426.80900000000003</v>
      </c>
      <c r="K6" s="7">
        <v>428.01</v>
      </c>
      <c r="L6" s="7">
        <v>442.55200000000002</v>
      </c>
      <c r="M6" s="7">
        <v>453.77</v>
      </c>
      <c r="N6" s="7">
        <v>468.28899999999999</v>
      </c>
      <c r="O6" s="7">
        <v>415.21</v>
      </c>
      <c r="P6" s="7">
        <v>456.79</v>
      </c>
      <c r="Q6" s="7">
        <v>494.84199999999998</v>
      </c>
      <c r="R6" s="7">
        <v>534.24</v>
      </c>
      <c r="S6" s="7">
        <v>542.5</v>
      </c>
      <c r="T6" s="7">
        <v>560.34</v>
      </c>
      <c r="U6" s="7">
        <v>604.79999999999995</v>
      </c>
      <c r="V6" s="7">
        <v>641.41099999999994</v>
      </c>
      <c r="W6" s="7">
        <v>701.6</v>
      </c>
      <c r="X6" s="7">
        <v>763.12</v>
      </c>
      <c r="Y6" s="7">
        <v>781.06</v>
      </c>
      <c r="Z6" s="7">
        <v>740.11</v>
      </c>
      <c r="AA6" s="7">
        <v>805.75</v>
      </c>
      <c r="AB6" s="7">
        <v>869</v>
      </c>
      <c r="AC6" s="7">
        <v>911.52</v>
      </c>
    </row>
    <row r="7" spans="1:29" x14ac:dyDescent="0.3">
      <c r="A7" s="101"/>
      <c r="B7" s="13">
        <v>5</v>
      </c>
      <c r="C7" s="1" t="s">
        <v>9</v>
      </c>
      <c r="D7" s="3">
        <v>51</v>
      </c>
      <c r="E7" s="3">
        <v>51.835000000000001</v>
      </c>
      <c r="F7" s="3">
        <v>64.771000000000001</v>
      </c>
      <c r="G7" s="3">
        <v>23.882999999999999</v>
      </c>
      <c r="H7" s="3">
        <v>46.073999999999998</v>
      </c>
      <c r="I7" s="3">
        <v>51.606999999999999</v>
      </c>
      <c r="J7" s="3">
        <v>47.069000000000003</v>
      </c>
      <c r="K7" s="3">
        <v>49.51</v>
      </c>
      <c r="L7" s="3">
        <v>55.948</v>
      </c>
      <c r="M7" s="3">
        <v>58.125</v>
      </c>
      <c r="N7" s="3">
        <v>48.366</v>
      </c>
      <c r="O7" s="3">
        <v>38.521999999999998</v>
      </c>
      <c r="P7" s="3">
        <v>66.006</v>
      </c>
      <c r="Q7" s="3">
        <v>72.436999999999998</v>
      </c>
      <c r="R7" s="3">
        <v>82.465000000000003</v>
      </c>
      <c r="S7" s="3">
        <v>78.126999999999995</v>
      </c>
      <c r="T7" s="3">
        <v>86.721999999999994</v>
      </c>
      <c r="U7" s="3">
        <v>100.72</v>
      </c>
      <c r="V7" s="3">
        <v>122.34699999999999</v>
      </c>
      <c r="W7" s="3">
        <v>133.6</v>
      </c>
      <c r="X7" s="3">
        <v>133.97999999999999</v>
      </c>
      <c r="Y7" s="3">
        <v>124.72</v>
      </c>
      <c r="Z7" s="3">
        <v>122.51</v>
      </c>
      <c r="AA7" s="3">
        <v>137.82</v>
      </c>
      <c r="AB7" s="3">
        <v>159.54</v>
      </c>
      <c r="AC7" s="62">
        <v>175.18</v>
      </c>
    </row>
    <row r="8" spans="1:29" x14ac:dyDescent="0.3">
      <c r="A8" s="101"/>
      <c r="B8" s="13">
        <v>6</v>
      </c>
      <c r="C8" s="6" t="s">
        <v>10</v>
      </c>
      <c r="D8" s="7">
        <v>26.19</v>
      </c>
      <c r="E8" s="7">
        <v>28.234999999999999</v>
      </c>
      <c r="F8" s="3">
        <v>39.960999999999999</v>
      </c>
      <c r="G8" s="3">
        <v>-3.9369999999999998</v>
      </c>
      <c r="H8" s="7">
        <v>14.787000000000001</v>
      </c>
      <c r="I8" s="7">
        <v>20.727</v>
      </c>
      <c r="J8" s="7">
        <v>25.251999999999999</v>
      </c>
      <c r="K8" s="7">
        <v>26.812000000000001</v>
      </c>
      <c r="L8" s="7">
        <v>34.151000000000003</v>
      </c>
      <c r="M8" s="7">
        <v>36.985999999999997</v>
      </c>
      <c r="N8" s="7">
        <v>25.545000000000002</v>
      </c>
      <c r="O8" s="7">
        <v>17.934999999999999</v>
      </c>
      <c r="P8" s="7">
        <v>45.139000000000003</v>
      </c>
      <c r="Q8" s="7">
        <v>51.378</v>
      </c>
      <c r="R8" s="7">
        <v>61.259</v>
      </c>
      <c r="S8" s="7">
        <v>56.610999999999997</v>
      </c>
      <c r="T8" s="7">
        <v>64.385999999999996</v>
      </c>
      <c r="U8" s="7">
        <v>75.668999999999997</v>
      </c>
      <c r="V8" s="7">
        <v>96.037000000000006</v>
      </c>
      <c r="W8" s="7">
        <v>104</v>
      </c>
      <c r="X8" s="7">
        <v>102.71</v>
      </c>
      <c r="Y8" s="7">
        <v>89.55</v>
      </c>
      <c r="Z8" s="7">
        <v>85.97</v>
      </c>
      <c r="AA8" s="7">
        <v>97.75</v>
      </c>
      <c r="AB8" s="7">
        <v>115.71</v>
      </c>
      <c r="AC8" s="7">
        <v>131.94</v>
      </c>
    </row>
    <row r="9" spans="1:29" x14ac:dyDescent="0.3">
      <c r="A9" s="101"/>
      <c r="B9" s="13">
        <v>11</v>
      </c>
      <c r="C9" s="1" t="s">
        <v>11</v>
      </c>
      <c r="D9" s="3">
        <v>-8.07</v>
      </c>
      <c r="E9" s="3">
        <v>-11.23</v>
      </c>
      <c r="F9" s="3">
        <v>-19.702000000000002</v>
      </c>
      <c r="G9" s="3">
        <v>-18.687999999999999</v>
      </c>
      <c r="H9" s="3">
        <v>-13.615</v>
      </c>
      <c r="I9" s="3">
        <v>-11.295999999999999</v>
      </c>
      <c r="J9" s="3">
        <f>-(J8-J10)</f>
        <v>-7.352999999999998</v>
      </c>
      <c r="K9" s="3">
        <f>-(K8-K10)</f>
        <v>-7.4280000000000008</v>
      </c>
      <c r="L9" s="3">
        <f t="shared" ref="L9:M9" si="0">-(L8-L10)</f>
        <v>-8.7750000000000021</v>
      </c>
      <c r="M9" s="3">
        <f t="shared" si="0"/>
        <v>-11.019999999999996</v>
      </c>
      <c r="N9" s="3">
        <f t="shared" ref="N9" si="1">-(N8-N10)</f>
        <v>-12.922000000000002</v>
      </c>
      <c r="O9" s="3">
        <f t="shared" ref="O9" si="2">-(O8-O10)</f>
        <v>-9.8289999999999988</v>
      </c>
      <c r="P9" s="3">
        <v>-4.1639999999999997</v>
      </c>
      <c r="Q9" s="3">
        <v>-5.5149999999999997</v>
      </c>
      <c r="R9" s="3">
        <f>-(R8-R10)</f>
        <v>-13.323</v>
      </c>
      <c r="S9" s="3">
        <f>-(S8-S10)</f>
        <v>-7.1019999999999968</v>
      </c>
      <c r="T9" s="3">
        <f t="shared" ref="T9:U9" si="3">-(T8-T10)</f>
        <v>-10.929999999999993</v>
      </c>
      <c r="U9" s="3">
        <f t="shared" si="3"/>
        <v>-2.6029999999999944</v>
      </c>
      <c r="V9" s="3">
        <f t="shared" ref="V9" si="4">-(V8-V10)</f>
        <v>46.555000000000007</v>
      </c>
      <c r="W9" s="3">
        <v>-1.4710000000000001</v>
      </c>
      <c r="X9" s="3">
        <v>-3.1709999999999998</v>
      </c>
      <c r="Y9" s="3">
        <v>-2.177</v>
      </c>
      <c r="Z9" s="66">
        <v>-1.7290000000000001</v>
      </c>
      <c r="AA9" s="66">
        <v>-2.2250000000000001</v>
      </c>
      <c r="AB9" s="66">
        <v>-2.125</v>
      </c>
      <c r="AC9" s="1">
        <v>-2.0329999999999999</v>
      </c>
    </row>
    <row r="10" spans="1:29" x14ac:dyDescent="0.3">
      <c r="A10" s="101"/>
      <c r="B10" s="13">
        <v>12</v>
      </c>
      <c r="C10" s="6" t="s">
        <v>12</v>
      </c>
      <c r="D10" s="7">
        <v>19.57</v>
      </c>
      <c r="E10" s="7">
        <v>19.239999999999998</v>
      </c>
      <c r="F10" s="7">
        <v>19.899000000000001</v>
      </c>
      <c r="G10" s="7">
        <v>-22.798999999999999</v>
      </c>
      <c r="H10" s="7">
        <v>2.2829999999999999</v>
      </c>
      <c r="I10" s="7">
        <v>10.55</v>
      </c>
      <c r="J10" s="7">
        <v>17.899000000000001</v>
      </c>
      <c r="K10" s="7">
        <v>19.384</v>
      </c>
      <c r="L10" s="7">
        <v>25.376000000000001</v>
      </c>
      <c r="M10" s="7">
        <v>25.966000000000001</v>
      </c>
      <c r="N10" s="7">
        <v>12.622999999999999</v>
      </c>
      <c r="O10" s="7">
        <v>8.1059999999999999</v>
      </c>
      <c r="P10" s="7">
        <v>36.215000000000003</v>
      </c>
      <c r="Q10" s="7">
        <v>40.161999999999999</v>
      </c>
      <c r="R10" s="7">
        <v>47.936</v>
      </c>
      <c r="S10" s="7">
        <v>49.509</v>
      </c>
      <c r="T10" s="7">
        <v>53.456000000000003</v>
      </c>
      <c r="U10" s="7">
        <v>73.066000000000003</v>
      </c>
      <c r="V10" s="7">
        <v>142.59200000000001</v>
      </c>
      <c r="W10" s="7">
        <v>100.842</v>
      </c>
      <c r="X10" s="7">
        <v>102</v>
      </c>
      <c r="Y10" s="7">
        <v>91.41</v>
      </c>
      <c r="Z10" s="7">
        <v>80.11</v>
      </c>
      <c r="AA10" s="7">
        <v>103.08</v>
      </c>
      <c r="AB10" s="67">
        <v>119.89</v>
      </c>
      <c r="AC10" s="7">
        <v>133.69999999999999</v>
      </c>
    </row>
    <row r="11" spans="1:29" x14ac:dyDescent="0.3">
      <c r="A11" s="101"/>
      <c r="B11" s="13">
        <v>13</v>
      </c>
      <c r="C11" s="1" t="s">
        <v>13</v>
      </c>
      <c r="D11" s="3">
        <v>1.94</v>
      </c>
      <c r="E11" s="3">
        <v>1.806</v>
      </c>
      <c r="F11" s="3">
        <v>0.80800000000000005</v>
      </c>
      <c r="G11" s="3">
        <v>-7.9119999999999999</v>
      </c>
      <c r="H11" s="3">
        <f>H10-H12</f>
        <v>0.77600000000000002</v>
      </c>
      <c r="I11" s="3">
        <f>I10-I12</f>
        <v>2.4320000000000004</v>
      </c>
      <c r="J11" s="1">
        <v>2.1349999999999998</v>
      </c>
      <c r="K11" s="1">
        <v>2.8650000000000002</v>
      </c>
      <c r="L11" s="3">
        <v>3.9790000000000001</v>
      </c>
      <c r="M11" s="3">
        <v>1.4870000000000001</v>
      </c>
      <c r="N11" s="3">
        <v>5.5019999999999998</v>
      </c>
      <c r="O11" s="3">
        <v>2.2040000000000002</v>
      </c>
      <c r="P11" s="3">
        <v>14.461</v>
      </c>
      <c r="Q11" s="3">
        <v>13.747</v>
      </c>
      <c r="R11" s="3">
        <v>16.202999999999999</v>
      </c>
      <c r="S11" s="3">
        <v>18.550999999999998</v>
      </c>
      <c r="T11" s="3">
        <v>16.776</v>
      </c>
      <c r="U11" s="3">
        <v>17.495999999999999</v>
      </c>
      <c r="V11" s="3">
        <v>37.880000000000003</v>
      </c>
      <c r="W11" s="3">
        <v>24.263000000000002</v>
      </c>
      <c r="X11" s="3">
        <v>19.39</v>
      </c>
      <c r="Y11" s="3">
        <v>11.95</v>
      </c>
      <c r="Z11" s="3">
        <v>11.5</v>
      </c>
      <c r="AA11" s="3">
        <v>22.56</v>
      </c>
      <c r="AB11" s="66">
        <v>27.44</v>
      </c>
      <c r="AC11" s="7">
        <v>31.2</v>
      </c>
    </row>
    <row r="12" spans="1:29" x14ac:dyDescent="0.3">
      <c r="A12" s="101"/>
      <c r="B12" s="13">
        <v>14</v>
      </c>
      <c r="C12" s="6" t="s">
        <v>105</v>
      </c>
      <c r="D12" s="7">
        <v>17.634</v>
      </c>
      <c r="E12" s="7">
        <v>17.437999999999999</v>
      </c>
      <c r="F12" s="7">
        <v>19.091000000000001</v>
      </c>
      <c r="G12" s="7">
        <v>-14.887</v>
      </c>
      <c r="H12" s="7">
        <v>1.5069999999999999</v>
      </c>
      <c r="I12" s="7">
        <v>8.1180000000000003</v>
      </c>
      <c r="J12" s="7">
        <v>15.16</v>
      </c>
      <c r="K12" s="7">
        <v>15.747</v>
      </c>
      <c r="L12" s="7">
        <v>20.103999999999999</v>
      </c>
      <c r="M12" s="7">
        <v>23.245000000000001</v>
      </c>
      <c r="N12" s="7">
        <v>6.1529999999999996</v>
      </c>
      <c r="O12" s="7">
        <v>5.1109999999999998</v>
      </c>
      <c r="P12" s="7">
        <v>20.535</v>
      </c>
      <c r="Q12" s="7">
        <v>25.274000000000001</v>
      </c>
      <c r="R12" s="7">
        <v>31.812000000000001</v>
      </c>
      <c r="S12" s="7">
        <v>28.263000000000002</v>
      </c>
      <c r="T12" s="7">
        <v>35.756</v>
      </c>
      <c r="U12" s="7">
        <v>55.012</v>
      </c>
      <c r="V12" s="7">
        <v>102.703</v>
      </c>
      <c r="W12" s="7">
        <v>73.027000000000001</v>
      </c>
      <c r="X12" s="7">
        <v>77.39</v>
      </c>
      <c r="Y12" s="7">
        <v>74.95</v>
      </c>
      <c r="Z12" s="7">
        <v>64.33</v>
      </c>
      <c r="AA12" s="7">
        <v>71.84</v>
      </c>
      <c r="AB12" s="67">
        <v>86.08</v>
      </c>
      <c r="AC12" s="7">
        <v>98.34</v>
      </c>
    </row>
    <row r="13" spans="1:29" x14ac:dyDescent="0.3">
      <c r="A13" s="101"/>
      <c r="B13" s="13">
        <v>2</v>
      </c>
      <c r="C13" s="1" t="s">
        <v>15</v>
      </c>
      <c r="D13" s="35">
        <v>0.06</v>
      </c>
      <c r="E13" s="35">
        <v>0.06</v>
      </c>
      <c r="F13" s="35">
        <v>3.2000000000000001E-2</v>
      </c>
      <c r="G13" s="35">
        <v>3.5000000000000003E-2</v>
      </c>
      <c r="H13" s="35">
        <v>0</v>
      </c>
      <c r="I13" s="35">
        <v>0</v>
      </c>
      <c r="J13" s="35">
        <v>3.5000000000000003E-2</v>
      </c>
      <c r="K13" s="35">
        <v>0.05</v>
      </c>
      <c r="L13" s="35">
        <v>5.5E-2</v>
      </c>
      <c r="M13" s="35">
        <v>0.06</v>
      </c>
      <c r="N13" s="35">
        <v>0.06</v>
      </c>
      <c r="O13" s="35">
        <v>0</v>
      </c>
      <c r="P13" s="35">
        <v>0</v>
      </c>
      <c r="Q13" s="35">
        <v>0.1</v>
      </c>
      <c r="R13" s="35">
        <v>0.14000000000000001</v>
      </c>
      <c r="S13" s="35">
        <v>0.13</v>
      </c>
      <c r="T13" s="35">
        <v>0.33</v>
      </c>
      <c r="U13" s="35">
        <v>0.17</v>
      </c>
      <c r="V13" s="35">
        <v>0.19</v>
      </c>
      <c r="W13" s="35">
        <v>0.26</v>
      </c>
      <c r="X13" s="35">
        <v>0.19</v>
      </c>
      <c r="Y13" s="35">
        <v>0.27</v>
      </c>
      <c r="Z13" s="82">
        <v>0.19</v>
      </c>
      <c r="AA13" s="82">
        <v>0.27</v>
      </c>
      <c r="AB13" s="82">
        <v>0.3</v>
      </c>
      <c r="AC13" s="90">
        <v>0.34</v>
      </c>
    </row>
    <row r="14" spans="1:29" x14ac:dyDescent="0.3">
      <c r="A14" s="102" t="s">
        <v>14</v>
      </c>
      <c r="B14" s="14">
        <v>8</v>
      </c>
      <c r="C14" s="6" t="s">
        <v>16</v>
      </c>
      <c r="D14" s="7">
        <v>5.54</v>
      </c>
      <c r="E14" s="7">
        <v>1.5620000000000001</v>
      </c>
      <c r="F14" s="7">
        <v>34</v>
      </c>
      <c r="G14" s="7">
        <v>2</v>
      </c>
      <c r="H14" s="7">
        <v>5.7859999999999996</v>
      </c>
      <c r="I14" s="7">
        <v>7.1849999999999996</v>
      </c>
      <c r="J14" s="7">
        <v>8.3059999999999992</v>
      </c>
      <c r="K14" s="7">
        <v>8.6660000000000004</v>
      </c>
      <c r="L14" s="7">
        <v>3.9980000000000002</v>
      </c>
      <c r="M14" s="7">
        <v>6.3929999999999998</v>
      </c>
      <c r="N14" s="7">
        <v>4.5960000000000001</v>
      </c>
      <c r="O14" s="7">
        <v>7.74</v>
      </c>
      <c r="P14" s="7">
        <v>33.311999999999998</v>
      </c>
      <c r="Q14" s="7">
        <v>21.681000000000001</v>
      </c>
      <c r="R14" s="7">
        <v>19.846</v>
      </c>
      <c r="S14" s="7">
        <v>-6.1950000000000003</v>
      </c>
      <c r="T14" s="7">
        <v>6.0359999999999996</v>
      </c>
      <c r="U14" s="7">
        <v>7.4610000000000003</v>
      </c>
      <c r="V14" s="7">
        <v>51.119</v>
      </c>
      <c r="W14" s="7">
        <v>17.004999999999999</v>
      </c>
      <c r="X14" s="7">
        <v>21.7</v>
      </c>
      <c r="Y14" s="7">
        <v>22.1</v>
      </c>
      <c r="Z14" s="7">
        <v>70.3</v>
      </c>
      <c r="AA14" s="7">
        <v>101.4</v>
      </c>
      <c r="AB14" s="7"/>
      <c r="AC14" s="1"/>
    </row>
    <row r="15" spans="1:29" x14ac:dyDescent="0.3">
      <c r="A15" s="103"/>
      <c r="B15" s="14">
        <v>7</v>
      </c>
      <c r="C15" s="1" t="s">
        <v>93</v>
      </c>
      <c r="D15" s="3">
        <v>263.16000000000003</v>
      </c>
      <c r="E15" s="3">
        <v>238.37</v>
      </c>
      <c r="F15" s="3">
        <v>279.14</v>
      </c>
      <c r="G15" s="3">
        <v>287.44</v>
      </c>
      <c r="H15" s="3">
        <v>281.923</v>
      </c>
      <c r="I15" s="3">
        <v>287.77699999999999</v>
      </c>
      <c r="J15" s="3">
        <v>227.83600000000001</v>
      </c>
      <c r="K15" s="3">
        <v>227.34800000000001</v>
      </c>
      <c r="L15" s="3">
        <v>229.328</v>
      </c>
      <c r="M15" s="3">
        <v>238.17400000000001</v>
      </c>
      <c r="N15" s="3">
        <v>227.55799999999999</v>
      </c>
      <c r="O15" s="3">
        <v>146.35300000000001</v>
      </c>
      <c r="P15" s="3">
        <v>135.73500000000001</v>
      </c>
      <c r="Q15" s="3">
        <v>139.10499999999999</v>
      </c>
      <c r="R15" s="3">
        <v>160.59399999999999</v>
      </c>
      <c r="S15" s="3">
        <v>112.235</v>
      </c>
      <c r="T15" s="3">
        <v>93.593999999999994</v>
      </c>
      <c r="U15" s="3">
        <v>91.356999999999999</v>
      </c>
      <c r="V15" s="3">
        <v>87</v>
      </c>
      <c r="W15" s="3">
        <v>145.80000000000001</v>
      </c>
      <c r="X15" s="3">
        <v>160.69999999999999</v>
      </c>
      <c r="Y15" s="3">
        <v>183.2</v>
      </c>
      <c r="Z15" s="3">
        <v>181</v>
      </c>
      <c r="AA15" s="3">
        <v>131.19999999999999</v>
      </c>
      <c r="AB15" s="3"/>
      <c r="AC15" s="1"/>
    </row>
    <row r="16" spans="1:29" x14ac:dyDescent="0.3">
      <c r="A16" s="103"/>
      <c r="B16" s="14">
        <v>9</v>
      </c>
      <c r="C16" s="6" t="s">
        <v>92</v>
      </c>
      <c r="D16" s="7">
        <v>2.2999999999999998</v>
      </c>
      <c r="E16" s="7">
        <v>6.17</v>
      </c>
      <c r="F16" s="7">
        <v>0</v>
      </c>
      <c r="G16" s="7">
        <v>0</v>
      </c>
      <c r="H16" s="7">
        <v>8.0470000000000006</v>
      </c>
      <c r="I16" s="7">
        <v>7.29</v>
      </c>
      <c r="J16" s="7">
        <v>8.1460000000000008</v>
      </c>
      <c r="K16" s="7">
        <v>11.753</v>
      </c>
      <c r="L16" s="7">
        <v>10.648</v>
      </c>
      <c r="M16" s="7">
        <v>9.5730000000000004</v>
      </c>
      <c r="N16" s="7">
        <v>9.593</v>
      </c>
      <c r="O16" s="7">
        <v>10.683999999999999</v>
      </c>
      <c r="P16" s="7">
        <v>12.131</v>
      </c>
      <c r="Q16" s="7">
        <v>12.439</v>
      </c>
      <c r="R16" s="7">
        <v>14.664999999999999</v>
      </c>
      <c r="S16" s="7">
        <v>13.009</v>
      </c>
      <c r="T16" s="7">
        <v>13.393000000000001</v>
      </c>
      <c r="U16" s="7">
        <v>13.368</v>
      </c>
      <c r="V16" s="7">
        <v>15.891999999999999</v>
      </c>
      <c r="W16" s="7">
        <v>29.524000000000001</v>
      </c>
      <c r="X16" s="7">
        <v>31.9</v>
      </c>
      <c r="Y16" s="7">
        <v>30.1</v>
      </c>
      <c r="Z16" s="7">
        <v>26.9</v>
      </c>
      <c r="AA16" s="7">
        <v>31.7</v>
      </c>
      <c r="AB16" s="7"/>
      <c r="AC16" s="1"/>
    </row>
    <row r="17" spans="1:29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/>
      <c r="AC17" s="1"/>
    </row>
    <row r="18" spans="1:29" x14ac:dyDescent="0.3">
      <c r="A18" s="103"/>
      <c r="B18" s="14">
        <v>15</v>
      </c>
      <c r="C18" s="6" t="s">
        <v>19</v>
      </c>
      <c r="D18" s="7">
        <v>270.39</v>
      </c>
      <c r="E18" s="7">
        <v>322.93</v>
      </c>
      <c r="F18" s="7">
        <v>382.005</v>
      </c>
      <c r="G18" s="7">
        <v>395.28500000000003</v>
      </c>
      <c r="H18" s="7">
        <v>380.91</v>
      </c>
      <c r="I18" s="7">
        <v>375.89800000000002</v>
      </c>
      <c r="J18" s="7">
        <v>329.28100000000001</v>
      </c>
      <c r="K18" s="7">
        <v>329.71600000000001</v>
      </c>
      <c r="L18" s="7">
        <v>330.82900000000001</v>
      </c>
      <c r="M18" s="7">
        <v>350.625</v>
      </c>
      <c r="N18" s="7">
        <v>328</v>
      </c>
      <c r="O18" s="7">
        <v>274.88499999999999</v>
      </c>
      <c r="P18" s="7">
        <v>293.221</v>
      </c>
      <c r="Q18" s="7">
        <v>322.76100000000002</v>
      </c>
      <c r="R18" s="7">
        <v>348.52100000000002</v>
      </c>
      <c r="S18" s="7">
        <v>325.57</v>
      </c>
      <c r="T18" s="7">
        <v>301.87700000000001</v>
      </c>
      <c r="U18" s="7">
        <v>326.5</v>
      </c>
      <c r="V18" s="7">
        <v>315.8</v>
      </c>
      <c r="W18" s="7">
        <v>438.9</v>
      </c>
      <c r="X18" s="7">
        <v>499.7</v>
      </c>
      <c r="Y18" s="7">
        <v>484.7</v>
      </c>
      <c r="Z18" s="7">
        <v>456</v>
      </c>
      <c r="AA18" s="7">
        <v>510.2</v>
      </c>
      <c r="AB18" s="7"/>
      <c r="AC18" s="1"/>
    </row>
    <row r="19" spans="1:29" x14ac:dyDescent="0.3">
      <c r="A19" s="103"/>
      <c r="B19" s="14">
        <v>18</v>
      </c>
      <c r="C19" s="1" t="s">
        <v>21</v>
      </c>
      <c r="D19" s="3">
        <v>162.29</v>
      </c>
      <c r="E19" s="3">
        <v>180.77</v>
      </c>
      <c r="F19" s="3">
        <v>243.721</v>
      </c>
      <c r="G19" s="3">
        <v>197.28899999999999</v>
      </c>
      <c r="H19" s="3">
        <v>195.417</v>
      </c>
      <c r="I19" s="3">
        <v>236.762</v>
      </c>
      <c r="J19" s="3">
        <v>226.06399999999999</v>
      </c>
      <c r="K19" s="3">
        <v>192.29</v>
      </c>
      <c r="L19" s="3">
        <v>166.14699999999999</v>
      </c>
      <c r="M19" s="3">
        <v>171.08099999999999</v>
      </c>
      <c r="N19" s="3">
        <v>192.27</v>
      </c>
      <c r="O19" s="3">
        <v>169.446</v>
      </c>
      <c r="P19" s="3">
        <v>257.28300000000002</v>
      </c>
      <c r="Q19" s="3">
        <v>226.96899999999999</v>
      </c>
      <c r="R19" s="3">
        <v>255.40199999999999</v>
      </c>
      <c r="S19" s="3">
        <v>249.13200000000001</v>
      </c>
      <c r="T19" s="3">
        <v>229.19900000000001</v>
      </c>
      <c r="U19" s="3">
        <v>222.89</v>
      </c>
      <c r="V19" s="3">
        <v>213.732</v>
      </c>
      <c r="W19" s="3">
        <v>276.04199999999997</v>
      </c>
      <c r="X19" s="3">
        <v>345.6</v>
      </c>
      <c r="Y19" s="3">
        <v>316.39999999999998</v>
      </c>
      <c r="Z19" s="3">
        <v>259.39999999999998</v>
      </c>
      <c r="AA19" s="3">
        <v>323.7</v>
      </c>
      <c r="AB19" s="3"/>
      <c r="AC19" s="1"/>
    </row>
    <row r="20" spans="1:29" x14ac:dyDescent="0.3">
      <c r="A20" s="103"/>
      <c r="B20" s="14">
        <v>17</v>
      </c>
      <c r="C20" s="6" t="s">
        <v>22</v>
      </c>
      <c r="D20" s="7">
        <v>255.5</v>
      </c>
      <c r="E20" s="7">
        <v>299.89999999999998</v>
      </c>
      <c r="F20" s="7">
        <v>379.18</v>
      </c>
      <c r="G20" s="7">
        <v>347.4</v>
      </c>
      <c r="H20" s="7">
        <v>333.31</v>
      </c>
      <c r="I20" s="7">
        <v>355.25299999999999</v>
      </c>
      <c r="J20" s="7">
        <v>329.82499999999999</v>
      </c>
      <c r="K20" s="7">
        <v>348.96499999999997</v>
      </c>
      <c r="L20" s="7">
        <v>355.30200000000002</v>
      </c>
      <c r="M20" s="7">
        <v>381.84300000000002</v>
      </c>
      <c r="N20" s="7">
        <v>350.149</v>
      </c>
      <c r="O20" s="7">
        <v>305.37599999999998</v>
      </c>
      <c r="P20" s="7">
        <v>354.79300000000001</v>
      </c>
      <c r="Q20" s="7">
        <v>397.18299999999999</v>
      </c>
      <c r="R20" s="7">
        <v>430.6</v>
      </c>
      <c r="S20" s="7">
        <v>414.56200000000001</v>
      </c>
      <c r="T20" s="7">
        <v>404.18099999999998</v>
      </c>
      <c r="U20" s="7">
        <v>443.53</v>
      </c>
      <c r="V20" s="7">
        <v>495.15</v>
      </c>
      <c r="W20" s="7">
        <v>595.22799999999995</v>
      </c>
      <c r="X20" s="7">
        <v>650</v>
      </c>
      <c r="Y20" s="7">
        <v>637.29999999999995</v>
      </c>
      <c r="Z20" s="7">
        <v>638.70000000000005</v>
      </c>
      <c r="AA20" s="7">
        <v>713.2</v>
      </c>
      <c r="AB20" s="7"/>
      <c r="AC20" s="1"/>
    </row>
    <row r="21" spans="1:29" x14ac:dyDescent="0.3">
      <c r="A21" s="103"/>
      <c r="B21" s="14">
        <v>19</v>
      </c>
      <c r="C21" s="1" t="s">
        <v>88</v>
      </c>
      <c r="D21" s="3">
        <v>140.16999999999999</v>
      </c>
      <c r="E21" s="3">
        <v>168.34</v>
      </c>
      <c r="F21" s="3">
        <v>228.93100000000001</v>
      </c>
      <c r="G21" s="3">
        <v>205.62299999999999</v>
      </c>
      <c r="H21" s="3">
        <v>196.8</v>
      </c>
      <c r="I21" s="3">
        <v>218.19900000000001</v>
      </c>
      <c r="J21" s="3">
        <v>204.04499999999999</v>
      </c>
      <c r="K21" s="3">
        <v>205.346</v>
      </c>
      <c r="L21" s="3">
        <v>212.13900000000001</v>
      </c>
      <c r="M21" s="3">
        <v>227.41499999999999</v>
      </c>
      <c r="N21" s="3">
        <v>205.65899999999999</v>
      </c>
      <c r="O21" s="3">
        <v>174.78899999999999</v>
      </c>
      <c r="P21" s="3">
        <v>184.798</v>
      </c>
      <c r="Q21" s="3">
        <v>224.922</v>
      </c>
      <c r="R21" s="3">
        <v>231.21100000000001</v>
      </c>
      <c r="S21" s="3">
        <v>244.06299999999999</v>
      </c>
      <c r="T21" s="3">
        <v>247.63300000000001</v>
      </c>
      <c r="U21" s="3">
        <v>271.70499999999998</v>
      </c>
      <c r="V21" s="3">
        <v>268.69099999999997</v>
      </c>
      <c r="W21" s="3">
        <v>359.14100000000002</v>
      </c>
      <c r="X21" s="3">
        <v>406.1</v>
      </c>
      <c r="Y21" s="3">
        <v>397.8</v>
      </c>
      <c r="Z21" s="3">
        <v>364.1</v>
      </c>
      <c r="AA21" s="3">
        <v>358.4</v>
      </c>
      <c r="AB21" s="3"/>
      <c r="AC21" s="1"/>
    </row>
    <row r="22" spans="1:29" x14ac:dyDescent="0.3">
      <c r="A22" s="103"/>
      <c r="B22" s="14">
        <v>20</v>
      </c>
      <c r="C22" s="6" t="s">
        <v>87</v>
      </c>
      <c r="D22" s="7">
        <v>84.06</v>
      </c>
      <c r="E22" s="7">
        <v>90.4</v>
      </c>
      <c r="F22" s="7">
        <v>107.82</v>
      </c>
      <c r="G22" s="7">
        <v>103.22</v>
      </c>
      <c r="H22" s="7">
        <v>100.35</v>
      </c>
      <c r="I22" s="7">
        <v>99.32</v>
      </c>
      <c r="J22" s="7">
        <v>87.305000000000007</v>
      </c>
      <c r="K22" s="7">
        <v>100.23</v>
      </c>
      <c r="L22" s="7">
        <v>104.761</v>
      </c>
      <c r="M22" s="7">
        <v>114.13200000000001</v>
      </c>
      <c r="N22" s="7">
        <v>103.423</v>
      </c>
      <c r="O22" s="7">
        <v>98.584000000000003</v>
      </c>
      <c r="P22" s="7">
        <v>110.31100000000001</v>
      </c>
      <c r="Q22" s="7">
        <v>116.758</v>
      </c>
      <c r="R22" s="7">
        <v>124.108</v>
      </c>
      <c r="S22" s="7">
        <v>121.069</v>
      </c>
      <c r="T22" s="7">
        <v>122.60599999999999</v>
      </c>
      <c r="U22" s="7">
        <v>132.54499999999999</v>
      </c>
      <c r="V22" s="7">
        <v>141.876</v>
      </c>
      <c r="W22" s="7">
        <v>169</v>
      </c>
      <c r="X22" s="7">
        <v>174.8</v>
      </c>
      <c r="Y22" s="7">
        <v>165.8</v>
      </c>
      <c r="Z22" s="7">
        <v>161.80000000000001</v>
      </c>
      <c r="AA22" s="7">
        <v>189.1</v>
      </c>
      <c r="AB22" s="7"/>
      <c r="AC22" s="1"/>
    </row>
    <row r="23" spans="1:29" x14ac:dyDescent="0.3">
      <c r="A23" s="103"/>
      <c r="B23" s="14">
        <v>16</v>
      </c>
      <c r="C23" s="1" t="s">
        <v>20</v>
      </c>
      <c r="D23" s="3">
        <v>157.44</v>
      </c>
      <c r="E23" s="3">
        <v>171.35</v>
      </c>
      <c r="F23" s="3">
        <v>221.88900000000001</v>
      </c>
      <c r="G23" s="3">
        <v>198.905</v>
      </c>
      <c r="H23" s="3">
        <v>189.48599999999999</v>
      </c>
      <c r="I23" s="3">
        <v>195.88800000000001</v>
      </c>
      <c r="J23" s="3">
        <v>203.85599999999999</v>
      </c>
      <c r="K23" s="3">
        <v>220.18299999999999</v>
      </c>
      <c r="L23" s="3">
        <v>230.76</v>
      </c>
      <c r="M23" s="3">
        <v>245.39</v>
      </c>
      <c r="N23" s="3">
        <v>246.72399999999999</v>
      </c>
      <c r="O23" s="3">
        <v>249.845</v>
      </c>
      <c r="P23" s="3">
        <v>268.54500000000002</v>
      </c>
      <c r="Q23" s="3">
        <v>282.29199999999997</v>
      </c>
      <c r="R23" s="3">
        <v>295.24599999999998</v>
      </c>
      <c r="S23" s="3">
        <v>301.73700000000002</v>
      </c>
      <c r="T23" s="3">
        <v>315.56900000000002</v>
      </c>
      <c r="U23" s="3">
        <v>354.13299999999998</v>
      </c>
      <c r="V23" s="3">
        <v>426.94299999999998</v>
      </c>
      <c r="W23" s="3">
        <v>430.5</v>
      </c>
      <c r="X23" s="3">
        <v>466.4</v>
      </c>
      <c r="Y23" s="3">
        <v>509.5</v>
      </c>
      <c r="Z23" s="3">
        <v>549.70000000000005</v>
      </c>
      <c r="AA23" s="3">
        <v>584.6</v>
      </c>
      <c r="AB23" s="3"/>
      <c r="AC23" s="1"/>
    </row>
    <row r="25" spans="1:29" x14ac:dyDescent="0.3">
      <c r="A25" s="9" t="s">
        <v>71</v>
      </c>
      <c r="B25" s="8"/>
      <c r="C25" s="9" t="s">
        <v>26</v>
      </c>
      <c r="D25" s="8">
        <v>98</v>
      </c>
      <c r="E25" s="8">
        <v>99</v>
      </c>
      <c r="F25" s="8">
        <v>2000</v>
      </c>
      <c r="G25" s="8">
        <v>1</v>
      </c>
      <c r="H25" s="8">
        <v>2</v>
      </c>
      <c r="I25" s="8">
        <v>3</v>
      </c>
      <c r="J25" s="8">
        <v>4</v>
      </c>
      <c r="K25" s="8">
        <v>5</v>
      </c>
      <c r="L25" s="8">
        <v>6</v>
      </c>
      <c r="M25" s="8">
        <v>7</v>
      </c>
      <c r="N25" s="8">
        <v>8</v>
      </c>
      <c r="O25" s="8">
        <v>9</v>
      </c>
      <c r="P25" s="8">
        <v>10</v>
      </c>
      <c r="Q25" s="8">
        <v>11</v>
      </c>
      <c r="R25" s="8">
        <v>12</v>
      </c>
      <c r="S25" s="8">
        <v>13</v>
      </c>
      <c r="T25" s="8">
        <v>14</v>
      </c>
      <c r="U25" s="8">
        <v>15</v>
      </c>
      <c r="V25" s="8">
        <v>16</v>
      </c>
      <c r="W25" s="8">
        <v>17</v>
      </c>
      <c r="X25" s="8">
        <v>18</v>
      </c>
      <c r="Y25" s="8">
        <v>19</v>
      </c>
      <c r="Z25" s="8">
        <v>20</v>
      </c>
      <c r="AA25" s="8" t="s">
        <v>3</v>
      </c>
      <c r="AB25" s="8" t="s">
        <v>94</v>
      </c>
      <c r="AC25" s="8" t="s">
        <v>116</v>
      </c>
    </row>
    <row r="26" spans="1:29" x14ac:dyDescent="0.3">
      <c r="A26" s="6" t="s">
        <v>65</v>
      </c>
      <c r="B26" s="17" t="s">
        <v>27</v>
      </c>
      <c r="C26" s="6" t="s">
        <v>85</v>
      </c>
      <c r="D26" s="7">
        <f t="shared" ref="D26:W26" si="5">D4*D5</f>
        <v>122.98</v>
      </c>
      <c r="E26" s="7">
        <f t="shared" si="5"/>
        <v>97.955000000000013</v>
      </c>
      <c r="F26" s="7">
        <f t="shared" si="5"/>
        <v>142.31</v>
      </c>
      <c r="G26" s="7">
        <f t="shared" si="5"/>
        <v>117.04</v>
      </c>
      <c r="H26" s="7">
        <f t="shared" si="5"/>
        <v>106.4</v>
      </c>
      <c r="I26" s="7">
        <f t="shared" si="5"/>
        <v>152.94999999999999</v>
      </c>
      <c r="J26" s="7">
        <f t="shared" si="5"/>
        <v>140.98000000000002</v>
      </c>
      <c r="K26" s="7">
        <f t="shared" si="5"/>
        <v>196.84</v>
      </c>
      <c r="L26" s="7">
        <f t="shared" si="5"/>
        <v>260.68</v>
      </c>
      <c r="M26" s="7">
        <f t="shared" si="5"/>
        <v>260.68</v>
      </c>
      <c r="N26" s="7">
        <f t="shared" si="5"/>
        <v>107.73</v>
      </c>
      <c r="O26" s="7">
        <f t="shared" si="5"/>
        <v>125.02</v>
      </c>
      <c r="P26" s="7">
        <f t="shared" si="5"/>
        <v>147.43599999999998</v>
      </c>
      <c r="Q26" s="7">
        <f t="shared" si="5"/>
        <v>170.37</v>
      </c>
      <c r="R26" s="7">
        <f t="shared" si="5"/>
        <v>201.92000000000002</v>
      </c>
      <c r="S26" s="7">
        <f t="shared" si="5"/>
        <v>277.57599999999996</v>
      </c>
      <c r="T26" s="7">
        <f t="shared" si="5"/>
        <v>379.31200000000001</v>
      </c>
      <c r="U26" s="7">
        <f t="shared" si="5"/>
        <v>747.31999999999994</v>
      </c>
      <c r="V26" s="7">
        <f t="shared" si="5"/>
        <v>1130.5</v>
      </c>
      <c r="W26" s="7">
        <f t="shared" si="5"/>
        <v>1369.9</v>
      </c>
      <c r="X26" s="7">
        <f t="shared" ref="X26:AC26" si="6">X4*X5</f>
        <v>1197</v>
      </c>
      <c r="Y26" s="7">
        <f t="shared" si="6"/>
        <v>1502.9</v>
      </c>
      <c r="Z26" s="7">
        <f t="shared" si="6"/>
        <v>1542.8</v>
      </c>
      <c r="AA26" s="7">
        <f t="shared" si="6"/>
        <v>1500.24</v>
      </c>
      <c r="AB26" s="7">
        <f t="shared" si="6"/>
        <v>1364.58</v>
      </c>
      <c r="AC26" s="7">
        <f t="shared" si="6"/>
        <v>1345.9599999999998</v>
      </c>
    </row>
    <row r="27" spans="1:29" x14ac:dyDescent="0.3">
      <c r="A27" s="1" t="s">
        <v>66</v>
      </c>
      <c r="B27" s="2" t="s">
        <v>28</v>
      </c>
      <c r="C27" s="1" t="s">
        <v>47</v>
      </c>
      <c r="D27" s="30">
        <f t="shared" ref="D27:W27" si="7">D26/D6</f>
        <v>0.34025952466591042</v>
      </c>
      <c r="E27" s="30">
        <f t="shared" si="7"/>
        <v>0.25755942364324785</v>
      </c>
      <c r="F27" s="30">
        <f t="shared" si="7"/>
        <v>0.30885391346621294</v>
      </c>
      <c r="G27" s="30">
        <f t="shared" si="7"/>
        <v>0.26133808493487765</v>
      </c>
      <c r="H27" s="30">
        <f t="shared" si="7"/>
        <v>0.24124139557240415</v>
      </c>
      <c r="I27" s="30">
        <f t="shared" si="7"/>
        <v>0.35774514137891511</v>
      </c>
      <c r="J27" s="30">
        <f t="shared" si="7"/>
        <v>0.33031168508630326</v>
      </c>
      <c r="K27" s="30">
        <f t="shared" si="7"/>
        <v>0.45989579682717696</v>
      </c>
      <c r="L27" s="30">
        <f t="shared" si="7"/>
        <v>0.58903812433341163</v>
      </c>
      <c r="M27" s="30">
        <f t="shared" si="7"/>
        <v>0.57447605615179498</v>
      </c>
      <c r="N27" s="30">
        <f t="shared" si="7"/>
        <v>0.23005024674933644</v>
      </c>
      <c r="O27" s="30">
        <f t="shared" si="7"/>
        <v>0.30110064786493584</v>
      </c>
      <c r="P27" s="30">
        <f t="shared" si="7"/>
        <v>0.32276538453118497</v>
      </c>
      <c r="Q27" s="30">
        <f t="shared" si="7"/>
        <v>0.34429171331455294</v>
      </c>
      <c r="R27" s="30">
        <f t="shared" si="7"/>
        <v>0.37795747229709498</v>
      </c>
      <c r="S27" s="30">
        <f t="shared" si="7"/>
        <v>0.51166082949308744</v>
      </c>
      <c r="T27" s="30">
        <f t="shared" si="7"/>
        <v>0.67693186279758721</v>
      </c>
      <c r="U27" s="30">
        <f t="shared" si="7"/>
        <v>1.2356481481481481</v>
      </c>
      <c r="V27" s="30">
        <f t="shared" si="7"/>
        <v>1.7625204432103598</v>
      </c>
      <c r="W27" s="30">
        <f t="shared" si="7"/>
        <v>1.9525370581527937</v>
      </c>
      <c r="X27" s="30">
        <f t="shared" ref="X27:AC27" si="8">X26/X6</f>
        <v>1.5685606457699968</v>
      </c>
      <c r="Y27" s="30">
        <f t="shared" si="8"/>
        <v>1.9241799605664101</v>
      </c>
      <c r="Z27" s="30">
        <f t="shared" si="8"/>
        <v>2.0845549985812917</v>
      </c>
      <c r="AA27" s="30">
        <f t="shared" si="8"/>
        <v>1.8619174681973316</v>
      </c>
      <c r="AB27" s="30">
        <f t="shared" si="8"/>
        <v>1.5702876869965476</v>
      </c>
      <c r="AC27" s="30">
        <f t="shared" si="8"/>
        <v>1.4766104967526767</v>
      </c>
    </row>
    <row r="28" spans="1:29" x14ac:dyDescent="0.3">
      <c r="A28" s="6" t="s">
        <v>67</v>
      </c>
      <c r="B28" s="17" t="s">
        <v>29</v>
      </c>
      <c r="C28" s="6" t="s">
        <v>48</v>
      </c>
      <c r="D28" s="29">
        <f t="shared" ref="D28:W28" si="9">D26/D7</f>
        <v>2.4113725490196081</v>
      </c>
      <c r="E28" s="29">
        <f t="shared" si="9"/>
        <v>1.8897463104080257</v>
      </c>
      <c r="F28" s="29">
        <f t="shared" si="9"/>
        <v>2.1971252566735111</v>
      </c>
      <c r="G28" s="29">
        <f t="shared" si="9"/>
        <v>4.9005568814638032</v>
      </c>
      <c r="H28" s="29">
        <f t="shared" si="9"/>
        <v>2.3093284715891826</v>
      </c>
      <c r="I28" s="29">
        <f t="shared" si="9"/>
        <v>2.9637452283604935</v>
      </c>
      <c r="J28" s="29">
        <f t="shared" si="9"/>
        <v>2.9951772929104084</v>
      </c>
      <c r="K28" s="29">
        <f t="shared" si="9"/>
        <v>3.9757624722278329</v>
      </c>
      <c r="L28" s="29">
        <f t="shared" si="9"/>
        <v>4.6593265174805181</v>
      </c>
      <c r="M28" s="29">
        <f t="shared" si="9"/>
        <v>4.4848172043010752</v>
      </c>
      <c r="N28" s="29">
        <f t="shared" si="9"/>
        <v>2.2273911425381465</v>
      </c>
      <c r="O28" s="29">
        <f t="shared" si="9"/>
        <v>3.2454182025855354</v>
      </c>
      <c r="P28" s="29">
        <f t="shared" si="9"/>
        <v>2.2336757264491105</v>
      </c>
      <c r="Q28" s="29">
        <f t="shared" si="9"/>
        <v>2.3519748194983228</v>
      </c>
      <c r="R28" s="29">
        <f t="shared" si="9"/>
        <v>2.4485539319711394</v>
      </c>
      <c r="S28" s="29">
        <f t="shared" si="9"/>
        <v>3.5528818462247362</v>
      </c>
      <c r="T28" s="29">
        <f t="shared" si="9"/>
        <v>4.373884366135468</v>
      </c>
      <c r="U28" s="29">
        <f t="shared" si="9"/>
        <v>7.419777601270849</v>
      </c>
      <c r="V28" s="29">
        <f t="shared" si="9"/>
        <v>9.2401121400606474</v>
      </c>
      <c r="W28" s="29">
        <f t="shared" si="9"/>
        <v>10.25374251497006</v>
      </c>
      <c r="X28" s="29">
        <f t="shared" ref="X28:AC28" si="10">X26/X7</f>
        <v>8.9341692789968654</v>
      </c>
      <c r="Y28" s="29">
        <f t="shared" si="10"/>
        <v>12.050192431045543</v>
      </c>
      <c r="Z28" s="29">
        <f t="shared" si="10"/>
        <v>12.59325769324953</v>
      </c>
      <c r="AA28" s="29">
        <f t="shared" si="10"/>
        <v>10.885502829777971</v>
      </c>
      <c r="AB28" s="29">
        <f t="shared" si="10"/>
        <v>8.5532154945468228</v>
      </c>
      <c r="AC28" s="29">
        <f t="shared" si="10"/>
        <v>7.6832971800433825</v>
      </c>
    </row>
    <row r="29" spans="1:29" x14ac:dyDescent="0.3">
      <c r="A29" s="15" t="s">
        <v>68</v>
      </c>
      <c r="B29" s="2" t="s">
        <v>30</v>
      </c>
      <c r="C29" s="1" t="s">
        <v>49</v>
      </c>
      <c r="D29" s="3">
        <f t="shared" ref="D29:AA29" si="11">D15-D14</f>
        <v>257.62</v>
      </c>
      <c r="E29" s="3">
        <f t="shared" si="11"/>
        <v>236.80799999999999</v>
      </c>
      <c r="F29" s="3">
        <f t="shared" si="11"/>
        <v>245.14</v>
      </c>
      <c r="G29" s="3">
        <f t="shared" si="11"/>
        <v>285.44</v>
      </c>
      <c r="H29" s="3">
        <f t="shared" si="11"/>
        <v>276.137</v>
      </c>
      <c r="I29" s="3">
        <f t="shared" si="11"/>
        <v>280.59199999999998</v>
      </c>
      <c r="J29" s="3">
        <f t="shared" si="11"/>
        <v>219.53</v>
      </c>
      <c r="K29" s="3">
        <f t="shared" si="11"/>
        <v>218.68200000000002</v>
      </c>
      <c r="L29" s="3">
        <f t="shared" si="11"/>
        <v>225.33</v>
      </c>
      <c r="M29" s="3">
        <f t="shared" si="11"/>
        <v>231.78100000000001</v>
      </c>
      <c r="N29" s="3">
        <f t="shared" si="11"/>
        <v>222.96199999999999</v>
      </c>
      <c r="O29" s="3">
        <f t="shared" si="11"/>
        <v>138.613</v>
      </c>
      <c r="P29" s="3">
        <f t="shared" si="11"/>
        <v>102.42300000000002</v>
      </c>
      <c r="Q29" s="3">
        <f t="shared" si="11"/>
        <v>117.42399999999999</v>
      </c>
      <c r="R29" s="3">
        <f t="shared" si="11"/>
        <v>140.74799999999999</v>
      </c>
      <c r="S29" s="3">
        <f t="shared" si="11"/>
        <v>118.43</v>
      </c>
      <c r="T29" s="3">
        <f t="shared" si="11"/>
        <v>87.557999999999993</v>
      </c>
      <c r="U29" s="3">
        <f t="shared" si="11"/>
        <v>83.896000000000001</v>
      </c>
      <c r="V29" s="3">
        <f t="shared" si="11"/>
        <v>35.881</v>
      </c>
      <c r="W29" s="3">
        <f t="shared" si="11"/>
        <v>128.79500000000002</v>
      </c>
      <c r="X29" s="3">
        <f t="shared" si="11"/>
        <v>139</v>
      </c>
      <c r="Y29" s="3">
        <f t="shared" si="11"/>
        <v>161.1</v>
      </c>
      <c r="Z29" s="3">
        <f t="shared" si="11"/>
        <v>110.7</v>
      </c>
      <c r="AA29" s="3">
        <f t="shared" si="11"/>
        <v>29.799999999999983</v>
      </c>
      <c r="AB29" s="1"/>
      <c r="AC29" s="1"/>
    </row>
    <row r="30" spans="1:29" x14ac:dyDescent="0.3">
      <c r="A30" s="6" t="s">
        <v>69</v>
      </c>
      <c r="B30" s="17" t="s">
        <v>31</v>
      </c>
      <c r="C30" s="6" t="s">
        <v>50</v>
      </c>
      <c r="D30" s="7">
        <f t="shared" ref="D30:AA30" si="12">D26+D29+D16+D17</f>
        <v>382.90000000000003</v>
      </c>
      <c r="E30" s="7">
        <f t="shared" si="12"/>
        <v>340.93300000000005</v>
      </c>
      <c r="F30" s="7">
        <f t="shared" si="12"/>
        <v>387.45</v>
      </c>
      <c r="G30" s="7">
        <f t="shared" si="12"/>
        <v>402.48</v>
      </c>
      <c r="H30" s="7">
        <f t="shared" si="12"/>
        <v>390.58400000000006</v>
      </c>
      <c r="I30" s="7">
        <f t="shared" si="12"/>
        <v>440.83199999999999</v>
      </c>
      <c r="J30" s="7">
        <f t="shared" si="12"/>
        <v>368.65600000000001</v>
      </c>
      <c r="K30" s="7">
        <f t="shared" si="12"/>
        <v>427.27500000000003</v>
      </c>
      <c r="L30" s="7">
        <f t="shared" si="12"/>
        <v>496.65800000000002</v>
      </c>
      <c r="M30" s="7">
        <f t="shared" si="12"/>
        <v>502.03399999999999</v>
      </c>
      <c r="N30" s="7">
        <f t="shared" si="12"/>
        <v>340.28500000000003</v>
      </c>
      <c r="O30" s="7">
        <f t="shared" si="12"/>
        <v>274.31700000000001</v>
      </c>
      <c r="P30" s="7">
        <f t="shared" si="12"/>
        <v>261.99</v>
      </c>
      <c r="Q30" s="7">
        <f t="shared" si="12"/>
        <v>300.233</v>
      </c>
      <c r="R30" s="7">
        <f t="shared" si="12"/>
        <v>357.33300000000003</v>
      </c>
      <c r="S30" s="7">
        <f t="shared" si="12"/>
        <v>409.01499999999999</v>
      </c>
      <c r="T30" s="7">
        <f t="shared" si="12"/>
        <v>480.26300000000003</v>
      </c>
      <c r="U30" s="7">
        <f t="shared" si="12"/>
        <v>844.58399999999995</v>
      </c>
      <c r="V30" s="7">
        <f t="shared" si="12"/>
        <v>1182.2730000000001</v>
      </c>
      <c r="W30" s="7">
        <f t="shared" si="12"/>
        <v>1528.2190000000001</v>
      </c>
      <c r="X30" s="7">
        <f t="shared" si="12"/>
        <v>1367.9</v>
      </c>
      <c r="Y30" s="7">
        <f t="shared" si="12"/>
        <v>1694.1</v>
      </c>
      <c r="Z30" s="7">
        <f t="shared" si="12"/>
        <v>1680.4</v>
      </c>
      <c r="AA30" s="7">
        <f t="shared" si="12"/>
        <v>1561.74</v>
      </c>
      <c r="AB30" s="7"/>
      <c r="AC30" s="1"/>
    </row>
    <row r="31" spans="1:29" x14ac:dyDescent="0.3">
      <c r="A31" s="1" t="s">
        <v>70</v>
      </c>
      <c r="B31" s="2" t="s">
        <v>32</v>
      </c>
      <c r="C31" s="1" t="s">
        <v>51</v>
      </c>
      <c r="D31" s="30">
        <f t="shared" ref="D31:AA31" si="13">D30/D7</f>
        <v>7.5078431372549028</v>
      </c>
      <c r="E31" s="30">
        <f t="shared" si="13"/>
        <v>6.5772740426352856</v>
      </c>
      <c r="F31" s="30">
        <f t="shared" si="13"/>
        <v>5.9818437263590187</v>
      </c>
      <c r="G31" s="30">
        <f t="shared" si="13"/>
        <v>16.852154251978398</v>
      </c>
      <c r="H31" s="30">
        <f t="shared" si="13"/>
        <v>8.4773190953683226</v>
      </c>
      <c r="I31" s="30">
        <f t="shared" si="13"/>
        <v>8.5420970023446436</v>
      </c>
      <c r="J31" s="30">
        <f t="shared" si="13"/>
        <v>7.8322462767426542</v>
      </c>
      <c r="K31" s="30">
        <f t="shared" si="13"/>
        <v>8.6300747323772988</v>
      </c>
      <c r="L31" s="30">
        <f t="shared" si="13"/>
        <v>8.8771359119182094</v>
      </c>
      <c r="M31" s="30">
        <f t="shared" si="13"/>
        <v>8.6371440860215056</v>
      </c>
      <c r="N31" s="30">
        <f t="shared" si="13"/>
        <v>7.0356241988173513</v>
      </c>
      <c r="O31" s="30">
        <f t="shared" si="13"/>
        <v>7.1210477129951721</v>
      </c>
      <c r="P31" s="30">
        <f t="shared" si="13"/>
        <v>3.9691846195800382</v>
      </c>
      <c r="Q31" s="30">
        <f t="shared" si="13"/>
        <v>4.144746469345777</v>
      </c>
      <c r="R31" s="30">
        <f t="shared" si="13"/>
        <v>4.3331473958649127</v>
      </c>
      <c r="S31" s="30">
        <f t="shared" si="13"/>
        <v>5.2352579773957792</v>
      </c>
      <c r="T31" s="30">
        <f t="shared" si="13"/>
        <v>5.5379603791425485</v>
      </c>
      <c r="U31" s="30">
        <f t="shared" si="13"/>
        <v>8.3854646544876879</v>
      </c>
      <c r="V31" s="30">
        <f t="shared" si="13"/>
        <v>9.6632773995275745</v>
      </c>
      <c r="W31" s="30">
        <f t="shared" si="13"/>
        <v>11.43876497005988</v>
      </c>
      <c r="X31" s="30">
        <f t="shared" si="13"/>
        <v>10.209732795939694</v>
      </c>
      <c r="Y31" s="30">
        <f t="shared" si="13"/>
        <v>13.583226427196921</v>
      </c>
      <c r="Z31" s="30">
        <f t="shared" si="13"/>
        <v>13.716431311729655</v>
      </c>
      <c r="AA31" s="30">
        <f t="shared" si="13"/>
        <v>11.331737048323902</v>
      </c>
      <c r="AB31" s="1"/>
      <c r="AC31" s="1"/>
    </row>
    <row r="32" spans="1:29" x14ac:dyDescent="0.3">
      <c r="A32" s="18" t="s">
        <v>72</v>
      </c>
      <c r="B32" s="17" t="s">
        <v>33</v>
      </c>
      <c r="C32" s="6" t="s">
        <v>109</v>
      </c>
      <c r="D32" s="27">
        <f t="shared" ref="D32:W32" si="14">D7/D6</f>
        <v>0.14110616163572476</v>
      </c>
      <c r="E32" s="27">
        <f t="shared" si="14"/>
        <v>0.13629312158182583</v>
      </c>
      <c r="F32" s="27">
        <f t="shared" si="14"/>
        <v>0.14057182790471562</v>
      </c>
      <c r="G32" s="27">
        <f t="shared" si="14"/>
        <v>5.3328242331678759E-2</v>
      </c>
      <c r="H32" s="27">
        <f t="shared" si="14"/>
        <v>0.10446387274062921</v>
      </c>
      <c r="I32" s="27">
        <f t="shared" si="14"/>
        <v>0.1207071167776507</v>
      </c>
      <c r="J32" s="27">
        <f t="shared" si="14"/>
        <v>0.11028117963773022</v>
      </c>
      <c r="K32" s="27">
        <f t="shared" si="14"/>
        <v>0.11567486740963996</v>
      </c>
      <c r="L32" s="27">
        <f t="shared" si="14"/>
        <v>0.12642130190350512</v>
      </c>
      <c r="M32" s="27">
        <f t="shared" si="14"/>
        <v>0.12809352755801398</v>
      </c>
      <c r="N32" s="27">
        <f t="shared" si="14"/>
        <v>0.10328237477284327</v>
      </c>
      <c r="O32" s="27">
        <f t="shared" si="14"/>
        <v>9.2777148912598445E-2</v>
      </c>
      <c r="P32" s="27">
        <f t="shared" si="14"/>
        <v>0.14449966067558395</v>
      </c>
      <c r="Q32" s="27">
        <f t="shared" si="14"/>
        <v>0.14638409835866803</v>
      </c>
      <c r="R32" s="27">
        <f t="shared" si="14"/>
        <v>0.15435946391135072</v>
      </c>
      <c r="S32" s="27">
        <f t="shared" si="14"/>
        <v>0.14401290322580645</v>
      </c>
      <c r="T32" s="27">
        <f t="shared" si="14"/>
        <v>0.1547667487596816</v>
      </c>
      <c r="U32" s="27">
        <f t="shared" si="14"/>
        <v>0.16653439153439153</v>
      </c>
      <c r="V32" s="27">
        <f t="shared" si="14"/>
        <v>0.19074665074343908</v>
      </c>
      <c r="W32" s="27">
        <f t="shared" si="14"/>
        <v>0.19042189281641961</v>
      </c>
      <c r="X32" s="27">
        <f t="shared" ref="X32:AC32" si="15">X7/X6</f>
        <v>0.17556871789495754</v>
      </c>
      <c r="Y32" s="27">
        <f t="shared" si="15"/>
        <v>0.1596804342816173</v>
      </c>
      <c r="Z32" s="27">
        <f t="shared" si="15"/>
        <v>0.16552944832524896</v>
      </c>
      <c r="AA32" s="27">
        <f t="shared" si="15"/>
        <v>0.17104560968042196</v>
      </c>
      <c r="AB32" s="27">
        <f t="shared" si="15"/>
        <v>0.18359033371691599</v>
      </c>
      <c r="AC32" s="27">
        <f t="shared" si="15"/>
        <v>0.19218448306126032</v>
      </c>
    </row>
    <row r="33" spans="1:29" x14ac:dyDescent="0.3">
      <c r="A33" s="16" t="s">
        <v>73</v>
      </c>
      <c r="B33" s="2" t="s">
        <v>34</v>
      </c>
      <c r="C33" s="1" t="s">
        <v>110</v>
      </c>
      <c r="D33" s="28">
        <f t="shared" ref="D33:W33" si="16">D8/D6</f>
        <v>7.2462164181169242E-2</v>
      </c>
      <c r="E33" s="28">
        <f t="shared" si="16"/>
        <v>7.4240113588557005E-2</v>
      </c>
      <c r="F33" s="28">
        <f t="shared" si="16"/>
        <v>8.672694284325301E-2</v>
      </c>
      <c r="G33" s="28">
        <f t="shared" si="16"/>
        <v>-8.7909094359929357E-3</v>
      </c>
      <c r="H33" s="28">
        <f t="shared" si="16"/>
        <v>3.3526658988055832E-2</v>
      </c>
      <c r="I33" s="28">
        <f t="shared" si="16"/>
        <v>4.8479787808831477E-2</v>
      </c>
      <c r="J33" s="28">
        <f t="shared" si="16"/>
        <v>5.9164638046526663E-2</v>
      </c>
      <c r="K33" s="28">
        <f t="shared" si="16"/>
        <v>6.2643396182332195E-2</v>
      </c>
      <c r="L33" s="28">
        <f t="shared" si="16"/>
        <v>7.7168332760895894E-2</v>
      </c>
      <c r="M33" s="28">
        <f t="shared" si="16"/>
        <v>8.1508253079754053E-2</v>
      </c>
      <c r="N33" s="28">
        <f t="shared" si="16"/>
        <v>5.4549647760250619E-2</v>
      </c>
      <c r="O33" s="28">
        <f t="shared" si="16"/>
        <v>4.3195009754100337E-2</v>
      </c>
      <c r="P33" s="28">
        <f t="shared" si="16"/>
        <v>9.8817837518334464E-2</v>
      </c>
      <c r="Q33" s="28">
        <f t="shared" si="16"/>
        <v>0.10382708015891942</v>
      </c>
      <c r="R33" s="28">
        <f t="shared" si="16"/>
        <v>0.11466569332135369</v>
      </c>
      <c r="S33" s="28">
        <f t="shared" si="16"/>
        <v>0.10435207373271889</v>
      </c>
      <c r="T33" s="28">
        <f t="shared" si="16"/>
        <v>0.11490523610664952</v>
      </c>
      <c r="U33" s="28">
        <f t="shared" si="16"/>
        <v>0.1251140873015873</v>
      </c>
      <c r="V33" s="28">
        <f t="shared" si="16"/>
        <v>0.14972770969004276</v>
      </c>
      <c r="W33" s="28">
        <f t="shared" si="16"/>
        <v>0.14823261117445838</v>
      </c>
      <c r="X33" s="28">
        <f t="shared" ref="X33:AC33" si="17">X8/X6</f>
        <v>0.13459220044029771</v>
      </c>
      <c r="Y33" s="28">
        <f t="shared" si="17"/>
        <v>0.11465188333802781</v>
      </c>
      <c r="Z33" s="28">
        <f t="shared" si="17"/>
        <v>0.11615840888516571</v>
      </c>
      <c r="AA33" s="28">
        <f t="shared" si="17"/>
        <v>0.12131554452373565</v>
      </c>
      <c r="AB33" s="28">
        <f t="shared" si="17"/>
        <v>0.13315304948216339</v>
      </c>
      <c r="AC33" s="28">
        <f t="shared" si="17"/>
        <v>0.14474723538704581</v>
      </c>
    </row>
    <row r="34" spans="1:29" x14ac:dyDescent="0.3">
      <c r="A34" s="18" t="s">
        <v>74</v>
      </c>
      <c r="B34" s="17" t="s">
        <v>35</v>
      </c>
      <c r="C34" s="6" t="s">
        <v>54</v>
      </c>
      <c r="D34" s="27">
        <f t="shared" ref="D34:W34" si="18">D11/D10</f>
        <v>9.9131323454266729E-2</v>
      </c>
      <c r="E34" s="27">
        <f t="shared" si="18"/>
        <v>9.3866943866943872E-2</v>
      </c>
      <c r="F34" s="27">
        <f t="shared" si="18"/>
        <v>4.0605055530428667E-2</v>
      </c>
      <c r="G34" s="27">
        <f t="shared" si="18"/>
        <v>0.34703276459493837</v>
      </c>
      <c r="H34" s="27">
        <f t="shared" si="18"/>
        <v>0.33990363556723613</v>
      </c>
      <c r="I34" s="27">
        <f t="shared" si="18"/>
        <v>0.23052132701421804</v>
      </c>
      <c r="J34" s="27">
        <f>J12/J10</f>
        <v>0.84697469132353764</v>
      </c>
      <c r="K34" s="27">
        <f>K12/K10</f>
        <v>0.81237102765167146</v>
      </c>
      <c r="L34" s="27">
        <f t="shared" si="18"/>
        <v>0.15680170239596469</v>
      </c>
      <c r="M34" s="27">
        <f t="shared" si="18"/>
        <v>5.7267195563429102E-2</v>
      </c>
      <c r="N34" s="27">
        <f t="shared" si="18"/>
        <v>0.43587102907391273</v>
      </c>
      <c r="O34" s="27">
        <f t="shared" si="18"/>
        <v>0.27189735998026154</v>
      </c>
      <c r="P34" s="27">
        <f t="shared" si="18"/>
        <v>0.39930967831009245</v>
      </c>
      <c r="Q34" s="27">
        <f t="shared" si="18"/>
        <v>0.34228873064090432</v>
      </c>
      <c r="R34" s="27">
        <f t="shared" si="18"/>
        <v>0.33801318424566085</v>
      </c>
      <c r="S34" s="27">
        <f t="shared" si="18"/>
        <v>0.37469954957684459</v>
      </c>
      <c r="T34" s="27">
        <f t="shared" si="18"/>
        <v>0.31382819515115234</v>
      </c>
      <c r="U34" s="27">
        <f t="shared" si="18"/>
        <v>0.23945473955054331</v>
      </c>
      <c r="V34" s="27">
        <f t="shared" si="18"/>
        <v>0.26565305206463197</v>
      </c>
      <c r="W34" s="27">
        <f t="shared" si="18"/>
        <v>0.24060411336546284</v>
      </c>
      <c r="X34" s="27">
        <f t="shared" ref="X34:AC34" si="19">X11/X10</f>
        <v>0.19009803921568627</v>
      </c>
      <c r="Y34" s="27">
        <f t="shared" si="19"/>
        <v>0.13072967946614156</v>
      </c>
      <c r="Z34" s="27">
        <f t="shared" si="19"/>
        <v>0.14355261515416304</v>
      </c>
      <c r="AA34" s="27">
        <f t="shared" si="19"/>
        <v>0.21885913853317809</v>
      </c>
      <c r="AB34" s="27">
        <f t="shared" si="19"/>
        <v>0.22887647009758946</v>
      </c>
      <c r="AC34" s="27">
        <f t="shared" si="19"/>
        <v>0.23335826477187735</v>
      </c>
    </row>
    <row r="35" spans="1:29" x14ac:dyDescent="0.3">
      <c r="A35" s="16" t="s">
        <v>75</v>
      </c>
      <c r="B35" s="2" t="s">
        <v>36</v>
      </c>
      <c r="C35" s="1" t="s">
        <v>108</v>
      </c>
      <c r="D35" s="28">
        <f t="shared" ref="D35:W35" si="20">D12/D6</f>
        <v>4.8789530476164127E-2</v>
      </c>
      <c r="E35" s="28">
        <f t="shared" si="20"/>
        <v>4.5850862431636517E-2</v>
      </c>
      <c r="F35" s="28">
        <f t="shared" si="20"/>
        <v>4.1432998819362458E-2</v>
      </c>
      <c r="G35" s="28">
        <f t="shared" si="20"/>
        <v>-3.3241114750730716E-2</v>
      </c>
      <c r="H35" s="28">
        <f t="shared" si="20"/>
        <v>3.4168306684926038E-3</v>
      </c>
      <c r="I35" s="28">
        <f t="shared" si="20"/>
        <v>1.8987741469199303E-2</v>
      </c>
      <c r="J35" s="28">
        <f t="shared" ref="J35:K35" si="21">J12/J6</f>
        <v>3.5519400949839387E-2</v>
      </c>
      <c r="K35" s="28">
        <f t="shared" si="21"/>
        <v>3.6791196467372257E-2</v>
      </c>
      <c r="L35" s="28">
        <f t="shared" si="20"/>
        <v>4.5427429996926907E-2</v>
      </c>
      <c r="M35" s="28">
        <f t="shared" si="20"/>
        <v>5.1226392225136086E-2</v>
      </c>
      <c r="N35" s="28">
        <f t="shared" si="20"/>
        <v>1.3139322085293483E-2</v>
      </c>
      <c r="O35" s="28">
        <f t="shared" si="20"/>
        <v>1.2309433780496617E-2</v>
      </c>
      <c r="P35" s="28">
        <f t="shared" si="20"/>
        <v>4.4955012150003283E-2</v>
      </c>
      <c r="Q35" s="28">
        <f t="shared" si="20"/>
        <v>5.107488855028474E-2</v>
      </c>
      <c r="R35" s="28">
        <f t="shared" si="20"/>
        <v>5.9546271338724172E-2</v>
      </c>
      <c r="S35" s="28">
        <f t="shared" si="20"/>
        <v>5.2097695852534563E-2</v>
      </c>
      <c r="T35" s="28">
        <f t="shared" si="20"/>
        <v>6.3811257450833422E-2</v>
      </c>
      <c r="U35" s="28">
        <f t="shared" si="20"/>
        <v>9.0958994708994712E-2</v>
      </c>
      <c r="V35" s="28">
        <f t="shared" si="20"/>
        <v>0.16012042200710622</v>
      </c>
      <c r="W35" s="28">
        <f t="shared" si="20"/>
        <v>0.1040863740022805</v>
      </c>
      <c r="X35" s="28">
        <f t="shared" ref="X35:AC35" si="22">X12/X6</f>
        <v>0.10141262186812035</v>
      </c>
      <c r="Y35" s="28">
        <f t="shared" si="22"/>
        <v>9.5959337310834003E-2</v>
      </c>
      <c r="Z35" s="28">
        <f t="shared" si="22"/>
        <v>8.6919511964437715E-2</v>
      </c>
      <c r="AA35" s="28">
        <f t="shared" si="22"/>
        <v>8.9159168476574624E-2</v>
      </c>
      <c r="AB35" s="28">
        <f t="shared" si="22"/>
        <v>9.9056386651323353E-2</v>
      </c>
      <c r="AC35" s="28">
        <f t="shared" si="22"/>
        <v>0.10788572933122696</v>
      </c>
    </row>
    <row r="36" spans="1:29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6.9740274469774297</v>
      </c>
      <c r="E36" s="29">
        <f t="shared" ref="E36:W36" si="23">IF(E26/E12&lt;0,0,E26/E12)</f>
        <v>5.6173299690331469</v>
      </c>
      <c r="F36" s="29">
        <f t="shared" si="23"/>
        <v>7.4542978366769681</v>
      </c>
      <c r="G36" s="29">
        <f t="shared" si="23"/>
        <v>0</v>
      </c>
      <c r="H36" s="29">
        <f t="shared" si="23"/>
        <v>70.603848706038491</v>
      </c>
      <c r="I36" s="29">
        <f t="shared" si="23"/>
        <v>18.840847499384083</v>
      </c>
      <c r="J36" s="29">
        <f t="shared" si="23"/>
        <v>9.2994722955145122</v>
      </c>
      <c r="K36" s="29">
        <f t="shared" si="23"/>
        <v>12.500158760398806</v>
      </c>
      <c r="L36" s="29">
        <f t="shared" si="23"/>
        <v>12.966573816155989</v>
      </c>
      <c r="M36" s="29">
        <f t="shared" si="23"/>
        <v>11.214454721445472</v>
      </c>
      <c r="N36" s="29">
        <f t="shared" si="23"/>
        <v>17.508532423208194</v>
      </c>
      <c r="O36" s="29">
        <f t="shared" si="23"/>
        <v>24.460966542750931</v>
      </c>
      <c r="P36" s="29">
        <f t="shared" si="23"/>
        <v>7.1797419040662271</v>
      </c>
      <c r="Q36" s="29">
        <f t="shared" si="23"/>
        <v>6.7409195220384586</v>
      </c>
      <c r="R36" s="29">
        <f t="shared" si="23"/>
        <v>6.3472903306928208</v>
      </c>
      <c r="S36" s="29">
        <f t="shared" si="23"/>
        <v>9.8211796341506545</v>
      </c>
      <c r="T36" s="29">
        <f t="shared" si="23"/>
        <v>10.608345452511466</v>
      </c>
      <c r="U36" s="29">
        <f t="shared" si="23"/>
        <v>13.584672435105066</v>
      </c>
      <c r="V36" s="29">
        <f t="shared" si="23"/>
        <v>11.007468136276447</v>
      </c>
      <c r="W36" s="29">
        <f t="shared" si="23"/>
        <v>18.758815232722146</v>
      </c>
      <c r="X36" s="29">
        <f t="shared" ref="X36:AC36" si="24">IF(X26/X12&lt;0,0,X26/X12)</f>
        <v>15.467114614291251</v>
      </c>
      <c r="Y36" s="29">
        <f t="shared" si="24"/>
        <v>20.052034689793196</v>
      </c>
      <c r="Z36" s="29">
        <f t="shared" si="24"/>
        <v>23.982589771490751</v>
      </c>
      <c r="AA36" s="29">
        <f t="shared" si="24"/>
        <v>20.883073496659243</v>
      </c>
      <c r="AB36" s="29">
        <f t="shared" si="24"/>
        <v>15.85246282527881</v>
      </c>
      <c r="AC36" s="29">
        <f t="shared" si="24"/>
        <v>13.686800894854583</v>
      </c>
    </row>
    <row r="37" spans="1:29" x14ac:dyDescent="0.3">
      <c r="A37" s="16" t="s">
        <v>77</v>
      </c>
      <c r="B37" s="2" t="s">
        <v>38</v>
      </c>
      <c r="C37" s="1" t="s">
        <v>57</v>
      </c>
      <c r="D37" s="30">
        <f t="shared" ref="D37:Z37" si="25">D26/D23</f>
        <v>0.7811229674796748</v>
      </c>
      <c r="E37" s="30">
        <f t="shared" si="25"/>
        <v>0.5716661803326526</v>
      </c>
      <c r="F37" s="30">
        <f t="shared" si="25"/>
        <v>0.64135671439323261</v>
      </c>
      <c r="G37" s="30">
        <f t="shared" si="25"/>
        <v>0.58842160830547252</v>
      </c>
      <c r="H37" s="30">
        <f t="shared" si="25"/>
        <v>0.56151905681686254</v>
      </c>
      <c r="I37" s="30">
        <f t="shared" si="25"/>
        <v>0.78080331618067456</v>
      </c>
      <c r="J37" s="30">
        <f t="shared" si="25"/>
        <v>0.69156659602856929</v>
      </c>
      <c r="K37" s="30">
        <f t="shared" si="25"/>
        <v>0.89398364088054028</v>
      </c>
      <c r="L37" s="30">
        <f t="shared" si="25"/>
        <v>1.1296585196741205</v>
      </c>
      <c r="M37" s="30">
        <f t="shared" si="25"/>
        <v>1.0623089775459473</v>
      </c>
      <c r="N37" s="30">
        <f t="shared" si="25"/>
        <v>0.43664175353836682</v>
      </c>
      <c r="O37" s="30">
        <f t="shared" si="25"/>
        <v>0.50039024195000903</v>
      </c>
      <c r="P37" s="30">
        <f t="shared" si="25"/>
        <v>0.54901785548045945</v>
      </c>
      <c r="Q37" s="30">
        <f t="shared" si="25"/>
        <v>0.60352401059895433</v>
      </c>
      <c r="R37" s="30">
        <f t="shared" si="25"/>
        <v>0.68390426965987694</v>
      </c>
      <c r="S37" s="30">
        <f t="shared" si="25"/>
        <v>0.91992695625660736</v>
      </c>
      <c r="T37" s="30">
        <f t="shared" si="25"/>
        <v>1.2019938587123578</v>
      </c>
      <c r="U37" s="30">
        <f t="shared" si="25"/>
        <v>2.1102806007912283</v>
      </c>
      <c r="V37" s="30">
        <f t="shared" si="25"/>
        <v>2.6478944496103698</v>
      </c>
      <c r="W37" s="30">
        <f t="shared" si="25"/>
        <v>3.1821138211382114</v>
      </c>
      <c r="X37" s="30">
        <f t="shared" si="25"/>
        <v>2.5664665523156089</v>
      </c>
      <c r="Y37" s="30">
        <f t="shared" si="25"/>
        <v>2.9497546614327774</v>
      </c>
      <c r="Z37" s="30">
        <f t="shared" si="25"/>
        <v>2.8066217937056575</v>
      </c>
      <c r="AA37" s="30">
        <f t="shared" ref="AA37" si="26">AA26/AA23</f>
        <v>2.5662675333561409</v>
      </c>
      <c r="AB37" s="1"/>
      <c r="AC37" s="1"/>
    </row>
    <row r="38" spans="1:29" x14ac:dyDescent="0.3">
      <c r="A38" s="18" t="s">
        <v>78</v>
      </c>
      <c r="B38" s="17" t="s">
        <v>39</v>
      </c>
      <c r="C38" s="6" t="s">
        <v>106</v>
      </c>
      <c r="D38" s="55">
        <f t="shared" ref="D38:Z38" si="27">D8/D23</f>
        <v>0.16634908536585366</v>
      </c>
      <c r="E38" s="55">
        <f t="shared" si="27"/>
        <v>0.16477969069156698</v>
      </c>
      <c r="F38" s="55">
        <f t="shared" si="27"/>
        <v>0.18009455178039468</v>
      </c>
      <c r="G38" s="55">
        <f t="shared" si="27"/>
        <v>-1.9793368693597446E-2</v>
      </c>
      <c r="H38" s="55">
        <f t="shared" si="27"/>
        <v>7.8037427567208134E-2</v>
      </c>
      <c r="I38" s="55">
        <f t="shared" si="27"/>
        <v>0.10581046312178388</v>
      </c>
      <c r="J38" s="55">
        <f t="shared" si="27"/>
        <v>0.12387175260968526</v>
      </c>
      <c r="K38" s="55">
        <f t="shared" si="27"/>
        <v>0.12177143557858691</v>
      </c>
      <c r="L38" s="55">
        <f t="shared" si="27"/>
        <v>0.14799358641012308</v>
      </c>
      <c r="M38" s="55">
        <f t="shared" si="27"/>
        <v>0.15072333835934634</v>
      </c>
      <c r="N38" s="55">
        <f t="shared" si="27"/>
        <v>0.10353674551320505</v>
      </c>
      <c r="O38" s="55">
        <f t="shared" si="27"/>
        <v>7.1784506393964248E-2</v>
      </c>
      <c r="P38" s="55">
        <f t="shared" si="27"/>
        <v>0.16808728518497831</v>
      </c>
      <c r="Q38" s="55">
        <f t="shared" si="27"/>
        <v>0.18200303232114268</v>
      </c>
      <c r="R38" s="55">
        <f t="shared" si="27"/>
        <v>0.20748460605732172</v>
      </c>
      <c r="S38" s="55">
        <f t="shared" si="27"/>
        <v>0.18761703072543306</v>
      </c>
      <c r="T38" s="55">
        <f t="shared" si="27"/>
        <v>0.20403144795591452</v>
      </c>
      <c r="U38" s="55">
        <f t="shared" si="27"/>
        <v>0.21367395865395206</v>
      </c>
      <c r="V38" s="55">
        <f t="shared" si="27"/>
        <v>0.22494103428326501</v>
      </c>
      <c r="W38" s="55">
        <f t="shared" si="27"/>
        <v>0.2415795586527294</v>
      </c>
      <c r="X38" s="55">
        <f t="shared" si="27"/>
        <v>0.22021869639794167</v>
      </c>
      <c r="Y38" s="55">
        <f t="shared" si="27"/>
        <v>0.17576054955839057</v>
      </c>
      <c r="Z38" s="55">
        <f t="shared" si="27"/>
        <v>0.15639439694378751</v>
      </c>
      <c r="AA38" s="55">
        <f t="shared" ref="AA38" si="28">AA8/AA23</f>
        <v>0.16720834758809441</v>
      </c>
      <c r="AB38" s="7"/>
      <c r="AC38" s="1"/>
    </row>
    <row r="39" spans="1:29" x14ac:dyDescent="0.3">
      <c r="A39" s="16" t="s">
        <v>79</v>
      </c>
      <c r="B39" s="2" t="s">
        <v>40</v>
      </c>
      <c r="C39" s="1" t="s">
        <v>107</v>
      </c>
      <c r="D39" s="56">
        <f t="shared" ref="D39:Z39" si="29">D12/D23</f>
        <v>0.11200457317073172</v>
      </c>
      <c r="E39" s="56">
        <f t="shared" si="29"/>
        <v>0.10176831047563466</v>
      </c>
      <c r="F39" s="56">
        <f t="shared" si="29"/>
        <v>8.6038514752871928E-2</v>
      </c>
      <c r="G39" s="56">
        <f t="shared" si="29"/>
        <v>-7.4844775143912926E-2</v>
      </c>
      <c r="H39" s="56">
        <f t="shared" si="29"/>
        <v>7.9530941599907107E-3</v>
      </c>
      <c r="I39" s="56">
        <f t="shared" si="29"/>
        <v>4.1442048517520216E-2</v>
      </c>
      <c r="J39" s="56">
        <f t="shared" si="29"/>
        <v>7.4366219292049299E-2</v>
      </c>
      <c r="K39" s="56">
        <f t="shared" si="29"/>
        <v>7.1517782935103982E-2</v>
      </c>
      <c r="L39" s="56">
        <f t="shared" si="29"/>
        <v>8.7120818166059974E-2</v>
      </c>
      <c r="M39" s="56">
        <f t="shared" si="29"/>
        <v>9.4726761481722987E-2</v>
      </c>
      <c r="N39" s="56">
        <f t="shared" si="29"/>
        <v>2.4938798009111394E-2</v>
      </c>
      <c r="O39" s="56">
        <f t="shared" si="29"/>
        <v>2.0456683143548999E-2</v>
      </c>
      <c r="P39" s="56">
        <f t="shared" si="29"/>
        <v>7.6467631123275426E-2</v>
      </c>
      <c r="Q39" s="56">
        <f t="shared" si="29"/>
        <v>8.9531407195386353E-2</v>
      </c>
      <c r="R39" s="56">
        <f t="shared" si="29"/>
        <v>0.10774743772989305</v>
      </c>
      <c r="S39" s="56">
        <f t="shared" si="29"/>
        <v>9.3667664224142216E-2</v>
      </c>
      <c r="T39" s="56">
        <f t="shared" si="29"/>
        <v>0.11330644011293885</v>
      </c>
      <c r="U39" s="56">
        <f t="shared" si="29"/>
        <v>0.15534276670064637</v>
      </c>
      <c r="V39" s="56">
        <f t="shared" si="29"/>
        <v>0.24055435971546554</v>
      </c>
      <c r="W39" s="56">
        <f t="shared" si="29"/>
        <v>0.16963298490127759</v>
      </c>
      <c r="X39" s="56">
        <f t="shared" si="29"/>
        <v>0.16593053173241853</v>
      </c>
      <c r="Y39" s="56">
        <f t="shared" si="29"/>
        <v>0.14710500490677136</v>
      </c>
      <c r="Z39" s="56">
        <f t="shared" si="29"/>
        <v>0.1170274695288339</v>
      </c>
      <c r="AA39" s="56">
        <f t="shared" ref="AA39" si="30">AA12/AA23</f>
        <v>0.12288744440643175</v>
      </c>
      <c r="AB39" s="1"/>
      <c r="AC39" s="1"/>
    </row>
    <row r="40" spans="1:29" x14ac:dyDescent="0.3">
      <c r="A40" s="18" t="s">
        <v>80</v>
      </c>
      <c r="B40" s="17" t="s">
        <v>41</v>
      </c>
      <c r="C40" s="6" t="s">
        <v>61</v>
      </c>
      <c r="D40" s="7">
        <f t="shared" ref="D40:Z40" si="31">D20-D19</f>
        <v>93.210000000000008</v>
      </c>
      <c r="E40" s="7">
        <f t="shared" si="31"/>
        <v>119.12999999999997</v>
      </c>
      <c r="F40" s="7">
        <f t="shared" si="31"/>
        <v>135.459</v>
      </c>
      <c r="G40" s="7">
        <f t="shared" si="31"/>
        <v>150.11099999999999</v>
      </c>
      <c r="H40" s="7">
        <f t="shared" si="31"/>
        <v>137.893</v>
      </c>
      <c r="I40" s="7">
        <f t="shared" si="31"/>
        <v>118.49099999999999</v>
      </c>
      <c r="J40" s="7">
        <f t="shared" si="31"/>
        <v>103.761</v>
      </c>
      <c r="K40" s="7">
        <f t="shared" si="31"/>
        <v>156.67499999999998</v>
      </c>
      <c r="L40" s="7">
        <f t="shared" si="31"/>
        <v>189.15500000000003</v>
      </c>
      <c r="M40" s="7">
        <f t="shared" si="31"/>
        <v>210.76200000000003</v>
      </c>
      <c r="N40" s="7">
        <f t="shared" si="31"/>
        <v>157.87899999999999</v>
      </c>
      <c r="O40" s="7">
        <f t="shared" si="31"/>
        <v>135.92999999999998</v>
      </c>
      <c r="P40" s="7">
        <f t="shared" si="31"/>
        <v>97.509999999999991</v>
      </c>
      <c r="Q40" s="7">
        <f t="shared" si="31"/>
        <v>170.214</v>
      </c>
      <c r="R40" s="7">
        <f t="shared" si="31"/>
        <v>175.19800000000004</v>
      </c>
      <c r="S40" s="7">
        <f t="shared" si="31"/>
        <v>165.43</v>
      </c>
      <c r="T40" s="7">
        <f t="shared" si="31"/>
        <v>174.98199999999997</v>
      </c>
      <c r="U40" s="7">
        <f t="shared" si="31"/>
        <v>220.64</v>
      </c>
      <c r="V40" s="7">
        <f t="shared" si="31"/>
        <v>281.41800000000001</v>
      </c>
      <c r="W40" s="7">
        <f t="shared" si="31"/>
        <v>319.18599999999998</v>
      </c>
      <c r="X40" s="7">
        <f t="shared" si="31"/>
        <v>304.39999999999998</v>
      </c>
      <c r="Y40" s="7">
        <f t="shared" si="31"/>
        <v>320.89999999999998</v>
      </c>
      <c r="Z40" s="7">
        <f t="shared" si="31"/>
        <v>379.30000000000007</v>
      </c>
      <c r="AA40" s="7">
        <f t="shared" ref="AA40" si="32">AA20-AA19</f>
        <v>389.50000000000006</v>
      </c>
      <c r="AB40" s="7"/>
      <c r="AC40" s="1"/>
    </row>
    <row r="41" spans="1:29" x14ac:dyDescent="0.3">
      <c r="A41" s="53" t="s">
        <v>96</v>
      </c>
      <c r="B41" s="49" t="s">
        <v>42</v>
      </c>
      <c r="C41" s="52" t="s">
        <v>98</v>
      </c>
      <c r="D41" s="29">
        <f>D20/D19</f>
        <v>1.5743422268778113</v>
      </c>
      <c r="E41" s="29">
        <f t="shared" ref="E41:Z41" si="33">E20/E19</f>
        <v>1.6590142169607787</v>
      </c>
      <c r="F41" s="29">
        <f t="shared" si="33"/>
        <v>1.5557953561654514</v>
      </c>
      <c r="G41" s="29">
        <f t="shared" si="33"/>
        <v>1.760868573513982</v>
      </c>
      <c r="H41" s="29">
        <f t="shared" si="33"/>
        <v>1.7056346172543841</v>
      </c>
      <c r="I41" s="29">
        <f t="shared" si="33"/>
        <v>1.5004646015830243</v>
      </c>
      <c r="J41" s="29">
        <f t="shared" si="33"/>
        <v>1.4589894897020312</v>
      </c>
      <c r="K41" s="29">
        <f t="shared" si="33"/>
        <v>1.8147849602163399</v>
      </c>
      <c r="L41" s="29">
        <f t="shared" si="33"/>
        <v>2.1384797799538964</v>
      </c>
      <c r="M41" s="29">
        <f t="shared" si="33"/>
        <v>2.2319427639539167</v>
      </c>
      <c r="N41" s="29">
        <f t="shared" si="33"/>
        <v>1.8211317418213968</v>
      </c>
      <c r="O41" s="29">
        <f t="shared" si="33"/>
        <v>1.8022024715838674</v>
      </c>
      <c r="P41" s="29">
        <f t="shared" si="33"/>
        <v>1.378999001099956</v>
      </c>
      <c r="Q41" s="29">
        <f t="shared" si="33"/>
        <v>1.7499438249276333</v>
      </c>
      <c r="R41" s="29">
        <f t="shared" si="33"/>
        <v>1.6859695695413506</v>
      </c>
      <c r="S41" s="29">
        <f t="shared" si="33"/>
        <v>1.6640254965239312</v>
      </c>
      <c r="T41" s="29">
        <f t="shared" si="33"/>
        <v>1.7634501023128371</v>
      </c>
      <c r="U41" s="29">
        <f t="shared" si="33"/>
        <v>1.9899053344699178</v>
      </c>
      <c r="V41" s="29">
        <f t="shared" si="33"/>
        <v>2.316686317444276</v>
      </c>
      <c r="W41" s="29">
        <f t="shared" si="33"/>
        <v>2.1562950565493657</v>
      </c>
      <c r="X41" s="29">
        <f t="shared" si="33"/>
        <v>1.880787037037037</v>
      </c>
      <c r="Y41" s="29">
        <f t="shared" si="33"/>
        <v>2.0142225031605561</v>
      </c>
      <c r="Z41" s="29">
        <f t="shared" si="33"/>
        <v>2.4622205088666158</v>
      </c>
      <c r="AA41" s="29">
        <f t="shared" ref="AA41" si="34">AA20/AA19</f>
        <v>2.203274637009577</v>
      </c>
      <c r="AB41" s="1"/>
      <c r="AC41" s="1"/>
    </row>
    <row r="42" spans="1:29" x14ac:dyDescent="0.3">
      <c r="A42" s="16" t="s">
        <v>81</v>
      </c>
      <c r="B42" s="17" t="s">
        <v>43</v>
      </c>
      <c r="C42" s="1" t="s">
        <v>60</v>
      </c>
      <c r="D42" s="30">
        <f t="shared" ref="D42:Z42" si="35">(D20-D21)/D19</f>
        <v>0.71064144432805487</v>
      </c>
      <c r="E42" s="30">
        <f t="shared" si="35"/>
        <v>0.72777562648669558</v>
      </c>
      <c r="F42" s="30">
        <f t="shared" si="35"/>
        <v>0.61647949909938005</v>
      </c>
      <c r="G42" s="30">
        <f t="shared" si="35"/>
        <v>0.71862597509237713</v>
      </c>
      <c r="H42" s="30">
        <f t="shared" si="35"/>
        <v>0.69855744382525564</v>
      </c>
      <c r="I42" s="30">
        <f t="shared" si="35"/>
        <v>0.57886823054375269</v>
      </c>
      <c r="J42" s="30">
        <f t="shared" si="35"/>
        <v>0.55639111048198742</v>
      </c>
      <c r="K42" s="30">
        <f t="shared" si="35"/>
        <v>0.74688751365125583</v>
      </c>
      <c r="L42" s="30">
        <f t="shared" si="35"/>
        <v>0.86166467044243966</v>
      </c>
      <c r="M42" s="30">
        <f t="shared" si="35"/>
        <v>0.90266014344082646</v>
      </c>
      <c r="N42" s="30">
        <f t="shared" si="35"/>
        <v>0.75149529307744323</v>
      </c>
      <c r="O42" s="30">
        <f t="shared" si="35"/>
        <v>0.7706703020431287</v>
      </c>
      <c r="P42" s="30">
        <f t="shared" si="35"/>
        <v>0.66073156796212729</v>
      </c>
      <c r="Q42" s="30">
        <f t="shared" si="35"/>
        <v>0.75896267772250836</v>
      </c>
      <c r="R42" s="30">
        <f t="shared" si="35"/>
        <v>0.78068691709540261</v>
      </c>
      <c r="S42" s="30">
        <f t="shared" si="35"/>
        <v>0.68437214007032421</v>
      </c>
      <c r="T42" s="30">
        <f t="shared" si="35"/>
        <v>0.68302217723462999</v>
      </c>
      <c r="U42" s="30">
        <f t="shared" si="35"/>
        <v>0.77089595764726992</v>
      </c>
      <c r="V42" s="30">
        <f t="shared" si="35"/>
        <v>1.0595465349128816</v>
      </c>
      <c r="W42" s="30">
        <f t="shared" si="35"/>
        <v>0.85525753327392195</v>
      </c>
      <c r="X42" s="30">
        <f t="shared" si="35"/>
        <v>0.70572916666666652</v>
      </c>
      <c r="Y42" s="30">
        <f t="shared" si="35"/>
        <v>0.75695322376738294</v>
      </c>
      <c r="Z42" s="30">
        <f t="shared" si="35"/>
        <v>1.0585967617579031</v>
      </c>
      <c r="AA42" s="30">
        <f t="shared" ref="AA42" si="36">(AA20-AA21)/AA19</f>
        <v>1.0960766141489036</v>
      </c>
      <c r="AB42" s="7"/>
      <c r="AC42" s="1"/>
    </row>
    <row r="43" spans="1:29" x14ac:dyDescent="0.3">
      <c r="A43" s="18" t="s">
        <v>82</v>
      </c>
      <c r="B43" s="49" t="s">
        <v>44</v>
      </c>
      <c r="C43" s="6" t="s">
        <v>62</v>
      </c>
      <c r="D43" s="29">
        <f t="shared" ref="D43:Z43" si="37">D14/D19</f>
        <v>3.4136422453632388E-2</v>
      </c>
      <c r="E43" s="29">
        <f t="shared" si="37"/>
        <v>8.6408142944072574E-3</v>
      </c>
      <c r="F43" s="29">
        <f t="shared" si="37"/>
        <v>0.13950377685960585</v>
      </c>
      <c r="G43" s="29">
        <f t="shared" si="37"/>
        <v>1.0137412628174912E-2</v>
      </c>
      <c r="H43" s="29">
        <f t="shared" si="37"/>
        <v>2.9608478279781185E-2</v>
      </c>
      <c r="I43" s="29">
        <f t="shared" si="37"/>
        <v>3.034693067299651E-2</v>
      </c>
      <c r="J43" s="29">
        <f t="shared" si="37"/>
        <v>3.6741807629697781E-2</v>
      </c>
      <c r="K43" s="29">
        <f t="shared" si="37"/>
        <v>4.5067346195850025E-2</v>
      </c>
      <c r="L43" s="29">
        <f t="shared" si="37"/>
        <v>2.4063028522934512E-2</v>
      </c>
      <c r="M43" s="29">
        <f t="shared" si="37"/>
        <v>3.7368264155575433E-2</v>
      </c>
      <c r="N43" s="29">
        <f t="shared" si="37"/>
        <v>2.3903885161491653E-2</v>
      </c>
      <c r="O43" s="29">
        <f t="shared" si="37"/>
        <v>4.5678269183102582E-2</v>
      </c>
      <c r="P43" s="29">
        <f t="shared" si="37"/>
        <v>0.12947610219097258</v>
      </c>
      <c r="Q43" s="29">
        <f t="shared" si="37"/>
        <v>9.5524058351581065E-2</v>
      </c>
      <c r="R43" s="29">
        <f t="shared" si="37"/>
        <v>7.770495140993415E-2</v>
      </c>
      <c r="S43" s="29">
        <f t="shared" si="37"/>
        <v>-2.4866335918308367E-2</v>
      </c>
      <c r="T43" s="29">
        <f t="shared" si="37"/>
        <v>2.6335193434526324E-2</v>
      </c>
      <c r="U43" s="29">
        <f t="shared" si="37"/>
        <v>3.3473910897752257E-2</v>
      </c>
      <c r="V43" s="29">
        <f t="shared" si="37"/>
        <v>0.23917335728856698</v>
      </c>
      <c r="W43" s="29">
        <f t="shared" si="37"/>
        <v>6.1602944479463274E-2</v>
      </c>
      <c r="X43" s="29">
        <f t="shared" si="37"/>
        <v>6.2789351851851846E-2</v>
      </c>
      <c r="Y43" s="29">
        <f t="shared" si="37"/>
        <v>6.9848293299620737E-2</v>
      </c>
      <c r="Z43" s="29">
        <f t="shared" si="37"/>
        <v>0.2710100231303007</v>
      </c>
      <c r="AA43" s="29">
        <f t="shared" ref="AA43" si="38">AA14/AA19</f>
        <v>0.31325301204819278</v>
      </c>
      <c r="AB43" s="1"/>
      <c r="AC43" s="1"/>
    </row>
    <row r="44" spans="1:29" x14ac:dyDescent="0.3">
      <c r="A44" s="16" t="s">
        <v>83</v>
      </c>
      <c r="B44" s="17" t="s">
        <v>45</v>
      </c>
      <c r="C44" s="1" t="s">
        <v>63</v>
      </c>
      <c r="D44" s="30">
        <f t="shared" ref="D44:Z44" si="39">D29/D7</f>
        <v>5.0513725490196082</v>
      </c>
      <c r="E44" s="30">
        <f t="shared" si="39"/>
        <v>4.568496189833124</v>
      </c>
      <c r="F44" s="30">
        <f t="shared" si="39"/>
        <v>3.7847184696855072</v>
      </c>
      <c r="G44" s="30">
        <f t="shared" si="39"/>
        <v>11.951597370514593</v>
      </c>
      <c r="H44" s="30">
        <f t="shared" si="39"/>
        <v>5.9933368060077266</v>
      </c>
      <c r="I44" s="30">
        <f t="shared" si="39"/>
        <v>5.4370918673823319</v>
      </c>
      <c r="J44" s="30">
        <f t="shared" si="39"/>
        <v>4.664003909154645</v>
      </c>
      <c r="K44" s="30">
        <f t="shared" si="39"/>
        <v>4.4169258735608974</v>
      </c>
      <c r="L44" s="30">
        <f t="shared" si="39"/>
        <v>4.0274898119682563</v>
      </c>
      <c r="M44" s="30">
        <f t="shared" si="39"/>
        <v>3.9876301075268819</v>
      </c>
      <c r="N44" s="30">
        <f t="shared" si="39"/>
        <v>4.6098912459165531</v>
      </c>
      <c r="O44" s="30">
        <f t="shared" si="39"/>
        <v>3.5982815014796743</v>
      </c>
      <c r="P44" s="30">
        <f t="shared" si="39"/>
        <v>1.5517225706753934</v>
      </c>
      <c r="Q44" s="30">
        <f t="shared" si="39"/>
        <v>1.6210500158758645</v>
      </c>
      <c r="R44" s="30">
        <f t="shared" si="39"/>
        <v>1.7067604438246526</v>
      </c>
      <c r="S44" s="30">
        <f t="shared" si="39"/>
        <v>1.5158651938510377</v>
      </c>
      <c r="T44" s="30">
        <f t="shared" si="39"/>
        <v>1.009639999077512</v>
      </c>
      <c r="U44" s="30">
        <f t="shared" si="39"/>
        <v>0.83296266878474978</v>
      </c>
      <c r="V44" s="30">
        <f t="shared" si="39"/>
        <v>0.29327241370855028</v>
      </c>
      <c r="W44" s="30">
        <f t="shared" si="39"/>
        <v>0.96403443113772469</v>
      </c>
      <c r="X44" s="30">
        <f t="shared" si="39"/>
        <v>1.0374682788475893</v>
      </c>
      <c r="Y44" s="30">
        <f t="shared" si="39"/>
        <v>1.2916933932007697</v>
      </c>
      <c r="Z44" s="30">
        <f t="shared" si="39"/>
        <v>0.90359970614643703</v>
      </c>
      <c r="AA44" s="30">
        <f t="shared" ref="AA44" si="40">AA29/AA7</f>
        <v>0.21622406036859662</v>
      </c>
      <c r="AB44" s="7"/>
      <c r="AC44" s="1"/>
    </row>
    <row r="45" spans="1:29" x14ac:dyDescent="0.3">
      <c r="A45" s="18" t="s">
        <v>84</v>
      </c>
      <c r="B45" s="54" t="s">
        <v>99</v>
      </c>
      <c r="C45" s="6" t="s">
        <v>64</v>
      </c>
      <c r="D45" s="29">
        <f t="shared" ref="D45:Z45" si="41">D18/D23</f>
        <v>1.7174161585365852</v>
      </c>
      <c r="E45" s="29">
        <f t="shared" si="41"/>
        <v>1.8846221184709659</v>
      </c>
      <c r="F45" s="29">
        <f t="shared" si="41"/>
        <v>1.7216040452658761</v>
      </c>
      <c r="G45" s="29">
        <f t="shared" si="41"/>
        <v>1.9873054975993565</v>
      </c>
      <c r="H45" s="29">
        <f t="shared" si="41"/>
        <v>2.010227668534879</v>
      </c>
      <c r="I45" s="29">
        <f t="shared" si="41"/>
        <v>1.9189434779057422</v>
      </c>
      <c r="J45" s="29">
        <f t="shared" si="41"/>
        <v>1.6152627344792403</v>
      </c>
      <c r="K45" s="29">
        <f t="shared" si="41"/>
        <v>1.4974634735651708</v>
      </c>
      <c r="L45" s="29">
        <f t="shared" si="41"/>
        <v>1.4336496793205062</v>
      </c>
      <c r="M45" s="29">
        <f t="shared" si="41"/>
        <v>1.4288479563144383</v>
      </c>
      <c r="N45" s="29">
        <f t="shared" si="41"/>
        <v>1.3294207292359075</v>
      </c>
      <c r="O45" s="29">
        <f t="shared" si="41"/>
        <v>1.1002221377253898</v>
      </c>
      <c r="P45" s="29">
        <f t="shared" si="41"/>
        <v>1.0918877655513972</v>
      </c>
      <c r="Q45" s="29">
        <f t="shared" si="41"/>
        <v>1.1433586499086055</v>
      </c>
      <c r="R45" s="29">
        <f t="shared" si="41"/>
        <v>1.1804427494360636</v>
      </c>
      <c r="S45" s="29">
        <f t="shared" si="41"/>
        <v>1.0789860043680424</v>
      </c>
      <c r="T45" s="29">
        <f t="shared" si="41"/>
        <v>0.95661170774062088</v>
      </c>
      <c r="U45" s="29">
        <f t="shared" si="41"/>
        <v>0.92196999432416638</v>
      </c>
      <c r="V45" s="29">
        <f t="shared" si="41"/>
        <v>0.73967719344268446</v>
      </c>
      <c r="W45" s="29">
        <f t="shared" si="41"/>
        <v>1.0195121951219512</v>
      </c>
      <c r="X45" s="29">
        <f t="shared" si="41"/>
        <v>1.0713979416809605</v>
      </c>
      <c r="Y45" s="29">
        <f t="shared" si="41"/>
        <v>0.95132482826300291</v>
      </c>
      <c r="Z45" s="29">
        <f t="shared" si="41"/>
        <v>0.8295433873021647</v>
      </c>
      <c r="AA45" s="29">
        <f t="shared" ref="AA45" si="42">AA18/AA23</f>
        <v>0.87273349298665748</v>
      </c>
      <c r="AB45" s="1"/>
      <c r="AC45" s="1"/>
    </row>
    <row r="46" spans="1:29" x14ac:dyDescent="0.3">
      <c r="A46" s="18" t="s">
        <v>97</v>
      </c>
      <c r="B46" s="17" t="s">
        <v>100</v>
      </c>
      <c r="C46" s="6" t="s">
        <v>111</v>
      </c>
      <c r="D46" s="28">
        <f t="shared" ref="D46:H46" si="43">D13/D4</f>
        <v>3.4883720930232558E-2</v>
      </c>
      <c r="E46" s="28">
        <f t="shared" si="43"/>
        <v>4.3795620437956199E-2</v>
      </c>
      <c r="F46" s="28">
        <f t="shared" si="43"/>
        <v>2.9906542056074764E-2</v>
      </c>
      <c r="G46" s="28">
        <f t="shared" si="43"/>
        <v>3.9772727272727279E-2</v>
      </c>
      <c r="H46" s="28">
        <f t="shared" si="43"/>
        <v>0</v>
      </c>
      <c r="I46" s="28">
        <f t="shared" ref="I46:AC46" si="44">I13/I4</f>
        <v>0</v>
      </c>
      <c r="J46" s="28">
        <f t="shared" si="44"/>
        <v>3.3018867924528301E-2</v>
      </c>
      <c r="K46" s="28">
        <f t="shared" si="44"/>
        <v>3.3783783783783786E-2</v>
      </c>
      <c r="L46" s="28">
        <f t="shared" si="44"/>
        <v>2.8061224489795918E-2</v>
      </c>
      <c r="M46" s="28">
        <f t="shared" si="44"/>
        <v>3.0612244897959183E-2</v>
      </c>
      <c r="N46" s="28">
        <f t="shared" si="44"/>
        <v>7.407407407407407E-2</v>
      </c>
      <c r="O46" s="28">
        <f t="shared" si="44"/>
        <v>0</v>
      </c>
      <c r="P46" s="28">
        <f t="shared" si="44"/>
        <v>0</v>
      </c>
      <c r="Q46" s="28">
        <f t="shared" si="44"/>
        <v>7.407407407407407E-2</v>
      </c>
      <c r="R46" s="28">
        <f t="shared" si="44"/>
        <v>8.7500000000000008E-2</v>
      </c>
      <c r="S46" s="28">
        <f t="shared" si="44"/>
        <v>5.8823529411764712E-2</v>
      </c>
      <c r="T46" s="28">
        <f t="shared" si="44"/>
        <v>0.10927152317880795</v>
      </c>
      <c r="U46" s="28">
        <f t="shared" si="44"/>
        <v>2.8571428571428574E-2</v>
      </c>
      <c r="V46" s="28">
        <f t="shared" si="44"/>
        <v>2.2352941176470589E-2</v>
      </c>
      <c r="W46" s="28">
        <f t="shared" si="44"/>
        <v>2.524271844660194E-2</v>
      </c>
      <c r="X46" s="28">
        <f t="shared" si="44"/>
        <v>2.1111111111111112E-2</v>
      </c>
      <c r="Y46" s="28">
        <f t="shared" si="44"/>
        <v>2.3893805309734513E-2</v>
      </c>
      <c r="Z46" s="28">
        <f t="shared" si="44"/>
        <v>1.6379310344827588E-2</v>
      </c>
      <c r="AA46" s="28">
        <f t="shared" si="44"/>
        <v>2.3936170212765961E-2</v>
      </c>
      <c r="AB46" s="28">
        <f t="shared" si="44"/>
        <v>2.9239766081871343E-2</v>
      </c>
      <c r="AC46" s="28">
        <f t="shared" si="44"/>
        <v>3.3596837944664039E-2</v>
      </c>
    </row>
  </sheetData>
  <mergeCells count="2">
    <mergeCell ref="A6:A13"/>
    <mergeCell ref="A14:A2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F7E8-2238-4718-8963-C1A60AEC9EDD}">
  <sheetPr codeName="Planilha12"/>
  <dimension ref="A3:O47"/>
  <sheetViews>
    <sheetView workbookViewId="0">
      <pane xSplit="3" ySplit="3" topLeftCell="D4" activePane="bottomRight" state="frozen"/>
      <selection activeCell="C22" sqref="C22"/>
      <selection pane="topRight" activeCell="C22" sqref="C22"/>
      <selection pane="bottomLeft" activeCell="C22" sqref="C22"/>
      <selection pane="bottomRight" activeCell="R40" sqref="R40"/>
    </sheetView>
  </sheetViews>
  <sheetFormatPr defaultRowHeight="14.4" x14ac:dyDescent="0.3"/>
  <cols>
    <col min="1" max="1" width="10" bestFit="1" customWidth="1"/>
    <col min="2" max="2" width="4" bestFit="1" customWidth="1"/>
    <col min="3" max="3" width="25.33203125" bestFit="1" customWidth="1"/>
    <col min="4" max="12" width="8.33203125" customWidth="1"/>
  </cols>
  <sheetData>
    <row r="3" spans="1:15" s="10" customFormat="1" x14ac:dyDescent="0.3">
      <c r="A3" s="9" t="s">
        <v>25</v>
      </c>
      <c r="B3" s="8" t="s">
        <v>23</v>
      </c>
      <c r="C3" s="9" t="s">
        <v>24</v>
      </c>
      <c r="D3" s="8">
        <v>13</v>
      </c>
      <c r="E3" s="8">
        <v>14</v>
      </c>
      <c r="F3" s="8">
        <v>15</v>
      </c>
      <c r="G3" s="8">
        <v>16</v>
      </c>
      <c r="H3" s="8">
        <v>17</v>
      </c>
      <c r="I3" s="8">
        <v>18</v>
      </c>
      <c r="J3" s="8">
        <v>19</v>
      </c>
      <c r="K3" s="8">
        <v>20</v>
      </c>
      <c r="L3" s="8" t="s">
        <v>3</v>
      </c>
      <c r="M3" s="8" t="s">
        <v>94</v>
      </c>
      <c r="N3" s="8" t="s">
        <v>116</v>
      </c>
      <c r="O3" s="8" t="s">
        <v>117</v>
      </c>
    </row>
    <row r="4" spans="1:15" x14ac:dyDescent="0.3">
      <c r="A4" s="4" t="s">
        <v>5</v>
      </c>
      <c r="B4" s="11">
        <v>1</v>
      </c>
      <c r="C4" s="6" t="s">
        <v>4</v>
      </c>
      <c r="D4" s="19">
        <v>5.59</v>
      </c>
      <c r="E4" s="19">
        <v>8.02</v>
      </c>
      <c r="F4" s="19">
        <v>8.85</v>
      </c>
      <c r="G4" s="19">
        <v>6.45</v>
      </c>
      <c r="H4" s="19">
        <v>3.5070000000000001</v>
      </c>
      <c r="I4" s="19">
        <v>2.9460000000000002</v>
      </c>
      <c r="J4" s="19">
        <v>3.19</v>
      </c>
      <c r="K4" s="19">
        <v>2.35</v>
      </c>
      <c r="L4" s="19">
        <v>4.5549999999999997</v>
      </c>
      <c r="M4" s="19">
        <v>4.95</v>
      </c>
      <c r="N4" s="19">
        <v>4.95</v>
      </c>
      <c r="O4" s="19"/>
    </row>
    <row r="5" spans="1:15" x14ac:dyDescent="0.3">
      <c r="A5" s="5" t="s">
        <v>8</v>
      </c>
      <c r="B5" s="12">
        <v>3</v>
      </c>
      <c r="C5" s="1" t="s">
        <v>86</v>
      </c>
      <c r="D5" s="3">
        <v>150</v>
      </c>
      <c r="E5" s="3">
        <v>150</v>
      </c>
      <c r="F5" s="3">
        <v>150</v>
      </c>
      <c r="G5" s="3">
        <v>149.53</v>
      </c>
      <c r="H5" s="3">
        <v>149.94999999999999</v>
      </c>
      <c r="I5" s="3">
        <v>150</v>
      </c>
      <c r="J5" s="3">
        <v>150</v>
      </c>
      <c r="K5" s="3">
        <v>150</v>
      </c>
      <c r="L5" s="3">
        <v>150</v>
      </c>
      <c r="M5" s="3">
        <v>150</v>
      </c>
      <c r="N5" s="3">
        <v>150</v>
      </c>
      <c r="O5" s="3"/>
    </row>
    <row r="6" spans="1:15" x14ac:dyDescent="0.3">
      <c r="A6" s="101" t="s">
        <v>7</v>
      </c>
      <c r="B6" s="13">
        <v>4</v>
      </c>
      <c r="C6" s="6" t="s">
        <v>104</v>
      </c>
      <c r="D6" s="7">
        <v>704.84700799999996</v>
      </c>
      <c r="E6" s="7">
        <v>718.77442199999996</v>
      </c>
      <c r="F6" s="7">
        <v>727.2</v>
      </c>
      <c r="G6" s="7">
        <v>696.8</v>
      </c>
      <c r="H6" s="7">
        <v>714.3</v>
      </c>
      <c r="I6" s="7">
        <v>717.47</v>
      </c>
      <c r="J6" s="7">
        <v>740.29</v>
      </c>
      <c r="K6" s="7">
        <v>745.24</v>
      </c>
      <c r="L6" s="7">
        <v>835.56</v>
      </c>
      <c r="M6" s="7">
        <v>880.73</v>
      </c>
      <c r="N6" s="7">
        <v>930.37</v>
      </c>
      <c r="O6" s="7"/>
    </row>
    <row r="7" spans="1:15" x14ac:dyDescent="0.3">
      <c r="A7" s="101"/>
      <c r="B7" s="13">
        <v>5</v>
      </c>
      <c r="C7" s="1" t="s">
        <v>9</v>
      </c>
      <c r="D7" s="3">
        <v>122.128889</v>
      </c>
      <c r="E7" s="3">
        <v>135.1</v>
      </c>
      <c r="F7" s="3">
        <v>144</v>
      </c>
      <c r="G7" s="3">
        <v>119.5</v>
      </c>
      <c r="H7" s="3">
        <v>89.9</v>
      </c>
      <c r="I7" s="3">
        <v>90.4</v>
      </c>
      <c r="J7" s="3">
        <v>101.56</v>
      </c>
      <c r="K7" s="3">
        <v>90.5</v>
      </c>
      <c r="L7" s="3">
        <v>120.28</v>
      </c>
      <c r="M7" s="3">
        <v>133.04</v>
      </c>
      <c r="N7" s="62">
        <v>147.93</v>
      </c>
      <c r="O7" s="62"/>
    </row>
    <row r="8" spans="1:15" x14ac:dyDescent="0.3">
      <c r="A8" s="101"/>
      <c r="B8" s="13">
        <v>6</v>
      </c>
      <c r="C8" s="6" t="s">
        <v>10</v>
      </c>
      <c r="D8" s="7">
        <v>96.113</v>
      </c>
      <c r="E8" s="7">
        <v>135.4</v>
      </c>
      <c r="F8" s="7">
        <v>109.9</v>
      </c>
      <c r="G8" s="7">
        <v>90.9</v>
      </c>
      <c r="H8" s="7">
        <v>60.2</v>
      </c>
      <c r="I8" s="7">
        <v>57</v>
      </c>
      <c r="J8" s="7">
        <v>47.29</v>
      </c>
      <c r="K8" s="7">
        <v>34.51</v>
      </c>
      <c r="L8" s="7">
        <v>63.98</v>
      </c>
      <c r="M8" s="7">
        <v>73.83</v>
      </c>
      <c r="N8" s="7">
        <v>86.01</v>
      </c>
      <c r="O8" s="7"/>
    </row>
    <row r="9" spans="1:15" x14ac:dyDescent="0.3">
      <c r="A9" s="101"/>
      <c r="B9" s="13">
        <v>11</v>
      </c>
      <c r="C9" s="1" t="s">
        <v>11</v>
      </c>
      <c r="D9" s="3">
        <v>-4.1390359999999999</v>
      </c>
      <c r="E9" s="3">
        <v>-7.418971</v>
      </c>
      <c r="F9" s="3">
        <v>-5.3</v>
      </c>
      <c r="G9" s="3">
        <v>-5.6</v>
      </c>
      <c r="H9" s="3">
        <v>-0.14779999999999999</v>
      </c>
      <c r="I9" s="3">
        <v>-5.5</v>
      </c>
      <c r="J9" s="3">
        <v>-4.7729999999999997</v>
      </c>
      <c r="K9" s="3">
        <v>-5.101</v>
      </c>
      <c r="L9" s="3">
        <v>-10.33</v>
      </c>
      <c r="M9" s="3">
        <v>-11</v>
      </c>
      <c r="N9" s="62">
        <v>-12</v>
      </c>
      <c r="O9" s="62"/>
    </row>
    <row r="10" spans="1:15" x14ac:dyDescent="0.3">
      <c r="A10" s="101"/>
      <c r="B10" s="13">
        <v>12</v>
      </c>
      <c r="C10" s="6" t="s">
        <v>12</v>
      </c>
      <c r="D10" s="7">
        <v>83.253184000000005</v>
      </c>
      <c r="E10" s="7">
        <v>127.99869</v>
      </c>
      <c r="F10" s="7">
        <v>104.61</v>
      </c>
      <c r="G10" s="7">
        <v>85.2</v>
      </c>
      <c r="H10" s="7">
        <v>42.1</v>
      </c>
      <c r="I10" s="7">
        <v>50.8</v>
      </c>
      <c r="J10" s="7">
        <v>35.53</v>
      </c>
      <c r="K10" s="7">
        <v>23</v>
      </c>
      <c r="L10" s="7">
        <v>47.32</v>
      </c>
      <c r="M10" s="7">
        <v>63.85</v>
      </c>
      <c r="N10" s="7">
        <v>75.98</v>
      </c>
      <c r="O10" s="7"/>
    </row>
    <row r="11" spans="1:15" x14ac:dyDescent="0.3">
      <c r="A11" s="101"/>
      <c r="B11" s="13">
        <v>13</v>
      </c>
      <c r="C11" s="1" t="s">
        <v>13</v>
      </c>
      <c r="D11" s="3">
        <v>22.147898999999999</v>
      </c>
      <c r="E11" s="3">
        <v>51.155054</v>
      </c>
      <c r="F11" s="3">
        <v>32.5</v>
      </c>
      <c r="G11" s="3">
        <v>23.3</v>
      </c>
      <c r="H11" s="3">
        <v>14.98</v>
      </c>
      <c r="I11" s="3">
        <v>12.8</v>
      </c>
      <c r="J11" s="3">
        <v>6.2</v>
      </c>
      <c r="K11" s="66">
        <v>6.359</v>
      </c>
      <c r="L11" s="66">
        <v>14.9</v>
      </c>
      <c r="M11" s="66">
        <v>16.329999999999998</v>
      </c>
      <c r="N11" s="92">
        <v>22</v>
      </c>
      <c r="O11" s="92"/>
    </row>
    <row r="12" spans="1:15" x14ac:dyDescent="0.3">
      <c r="A12" s="101"/>
      <c r="B12" s="13">
        <v>14</v>
      </c>
      <c r="C12" s="6" t="s">
        <v>105</v>
      </c>
      <c r="D12" s="7">
        <v>61.016067</v>
      </c>
      <c r="E12" s="7">
        <v>76.843636000000004</v>
      </c>
      <c r="F12" s="7">
        <v>72.099999999999994</v>
      </c>
      <c r="G12" s="7">
        <v>63.9</v>
      </c>
      <c r="H12" s="7">
        <v>40</v>
      </c>
      <c r="I12" s="67">
        <v>38</v>
      </c>
      <c r="J12" s="67">
        <v>29.2</v>
      </c>
      <c r="K12" s="67">
        <v>16.670000000000002</v>
      </c>
      <c r="L12" s="67">
        <v>37.380000000000003</v>
      </c>
      <c r="M12" s="67">
        <v>43</v>
      </c>
      <c r="N12" s="67">
        <v>53.75</v>
      </c>
      <c r="O12" s="81"/>
    </row>
    <row r="13" spans="1:15" x14ac:dyDescent="0.3">
      <c r="A13" s="101"/>
      <c r="B13" s="13">
        <v>2</v>
      </c>
      <c r="C13" s="1" t="s">
        <v>15</v>
      </c>
      <c r="D13" s="22">
        <v>0.4</v>
      </c>
      <c r="E13" s="22">
        <v>0.46500000000000002</v>
      </c>
      <c r="F13" s="22">
        <v>0.47</v>
      </c>
      <c r="G13" s="22">
        <v>0.48</v>
      </c>
      <c r="H13" s="22">
        <v>0.38</v>
      </c>
      <c r="I13" s="22">
        <v>0.1</v>
      </c>
      <c r="J13" s="22">
        <v>0.1</v>
      </c>
      <c r="K13" s="68">
        <v>0</v>
      </c>
      <c r="L13" s="68">
        <v>0.12</v>
      </c>
      <c r="M13" s="68">
        <v>0.2</v>
      </c>
      <c r="N13" s="93">
        <v>0.24</v>
      </c>
      <c r="O13" s="93"/>
    </row>
    <row r="14" spans="1:15" x14ac:dyDescent="0.3">
      <c r="A14" s="102" t="s">
        <v>14</v>
      </c>
      <c r="B14" s="14">
        <v>8</v>
      </c>
      <c r="C14" s="6" t="s">
        <v>16</v>
      </c>
      <c r="D14" s="7">
        <v>544.87580300000002</v>
      </c>
      <c r="E14" s="7">
        <v>664.56974400000001</v>
      </c>
      <c r="F14" s="7">
        <v>603.64971700000001</v>
      </c>
      <c r="G14" s="7">
        <v>680.9</v>
      </c>
      <c r="H14" s="7">
        <v>736.5</v>
      </c>
      <c r="I14" s="7">
        <v>541.4</v>
      </c>
      <c r="J14" s="7">
        <v>489.2</v>
      </c>
      <c r="K14" s="7">
        <v>600.1</v>
      </c>
      <c r="L14" s="7">
        <v>993.9</v>
      </c>
      <c r="M14" s="7"/>
      <c r="N14" s="1"/>
      <c r="O14" s="1"/>
    </row>
    <row r="15" spans="1:15" x14ac:dyDescent="0.3">
      <c r="A15" s="103"/>
      <c r="B15" s="14">
        <v>7</v>
      </c>
      <c r="C15" s="1" t="s">
        <v>17</v>
      </c>
      <c r="D15" s="3">
        <v>7</v>
      </c>
      <c r="E15" s="3">
        <v>3.76</v>
      </c>
      <c r="F15" s="3">
        <v>8.1199999999999992</v>
      </c>
      <c r="G15" s="3">
        <v>263.8</v>
      </c>
      <c r="H15" s="3">
        <v>629.6</v>
      </c>
      <c r="I15" s="3">
        <v>1011.3</v>
      </c>
      <c r="J15" s="3">
        <v>1496.8</v>
      </c>
      <c r="K15" s="3">
        <v>1939.8</v>
      </c>
      <c r="L15" s="3">
        <v>2466.1999999999998</v>
      </c>
      <c r="M15" s="3"/>
      <c r="N15" s="1"/>
      <c r="O15" s="1"/>
    </row>
    <row r="16" spans="1:15" x14ac:dyDescent="0.3">
      <c r="A16" s="103"/>
      <c r="B16" s="14">
        <v>9</v>
      </c>
      <c r="C16" s="6" t="s">
        <v>92</v>
      </c>
      <c r="D16" s="7">
        <v>1.6043719999999999</v>
      </c>
      <c r="E16" s="7">
        <v>-0.32370300000000002</v>
      </c>
      <c r="F16" s="7">
        <v>0.17532200000000001</v>
      </c>
      <c r="G16" s="7">
        <v>-7.9134999999999997E-2</v>
      </c>
      <c r="H16" s="7">
        <v>0.14673800000000001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1"/>
      <c r="O16" s="1"/>
    </row>
    <row r="17" spans="1:15" x14ac:dyDescent="0.3">
      <c r="A17" s="103"/>
      <c r="B17" s="14">
        <v>10</v>
      </c>
      <c r="C17" s="1" t="s">
        <v>18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1"/>
      <c r="O17" s="1"/>
    </row>
    <row r="18" spans="1:15" x14ac:dyDescent="0.3">
      <c r="A18" s="103"/>
      <c r="B18" s="14">
        <v>15</v>
      </c>
      <c r="C18" s="6" t="s">
        <v>19</v>
      </c>
      <c r="D18" s="7">
        <v>824.20021399999996</v>
      </c>
      <c r="E18" s="7">
        <v>931.78697799999998</v>
      </c>
      <c r="F18" s="7">
        <v>867.63745400000005</v>
      </c>
      <c r="G18" s="7">
        <v>1083.4000000000001</v>
      </c>
      <c r="H18" s="7">
        <v>1424.9</v>
      </c>
      <c r="I18" s="7">
        <v>1718.7</v>
      </c>
      <c r="J18" s="7">
        <v>2382.3000000000002</v>
      </c>
      <c r="K18" s="7">
        <v>2745</v>
      </c>
      <c r="L18" s="7">
        <v>3276.7</v>
      </c>
      <c r="M18" s="7"/>
      <c r="N18" s="1"/>
      <c r="O18" s="1"/>
    </row>
    <row r="19" spans="1:15" x14ac:dyDescent="0.3">
      <c r="A19" s="103"/>
      <c r="B19" s="14">
        <v>18</v>
      </c>
      <c r="C19" s="1" t="s">
        <v>21</v>
      </c>
      <c r="D19" s="3">
        <v>489.45846999999998</v>
      </c>
      <c r="E19" s="3">
        <v>617.39274999999998</v>
      </c>
      <c r="F19" s="3">
        <v>575</v>
      </c>
      <c r="G19" s="3">
        <v>813.8</v>
      </c>
      <c r="H19" s="3">
        <v>1142</v>
      </c>
      <c r="I19" s="3">
        <v>1354.3</v>
      </c>
      <c r="J19" s="3">
        <v>1869.2</v>
      </c>
      <c r="K19" s="3">
        <v>2251.1999999999998</v>
      </c>
      <c r="L19" s="3">
        <v>2558.1</v>
      </c>
      <c r="M19" s="3"/>
      <c r="N19" s="1"/>
      <c r="O19" s="1"/>
    </row>
    <row r="20" spans="1:15" x14ac:dyDescent="0.3">
      <c r="A20" s="103"/>
      <c r="B20" s="14">
        <v>17</v>
      </c>
      <c r="C20" s="6" t="s">
        <v>22</v>
      </c>
      <c r="D20" s="7">
        <v>708.43699400000003</v>
      </c>
      <c r="E20" s="7">
        <v>830.5</v>
      </c>
      <c r="F20" s="7">
        <v>764.6</v>
      </c>
      <c r="G20" s="7">
        <v>855.3</v>
      </c>
      <c r="H20" s="7">
        <v>930.3</v>
      </c>
      <c r="I20" s="7">
        <v>746.3</v>
      </c>
      <c r="J20" s="7">
        <v>778</v>
      </c>
      <c r="K20" s="7">
        <v>908.4</v>
      </c>
      <c r="L20" s="7">
        <v>1586.7</v>
      </c>
      <c r="M20" s="7"/>
      <c r="N20" s="1"/>
      <c r="O20" s="1"/>
    </row>
    <row r="21" spans="1:15" x14ac:dyDescent="0.3">
      <c r="A21" s="103"/>
      <c r="B21" s="14">
        <v>19</v>
      </c>
      <c r="C21" s="1" t="s">
        <v>88</v>
      </c>
      <c r="D21" s="3">
        <v>5.9939710000000002</v>
      </c>
      <c r="E21" s="3">
        <v>5.8</v>
      </c>
      <c r="F21" s="3">
        <v>5.5</v>
      </c>
      <c r="G21" s="3">
        <v>5.8</v>
      </c>
      <c r="H21" s="3">
        <v>6.5</v>
      </c>
      <c r="I21" s="3">
        <v>5.6</v>
      </c>
      <c r="J21" s="3">
        <v>6.2</v>
      </c>
      <c r="K21" s="3">
        <v>7</v>
      </c>
      <c r="L21" s="3">
        <v>7.6</v>
      </c>
      <c r="M21" s="3"/>
      <c r="N21" s="1"/>
      <c r="O21" s="1"/>
    </row>
    <row r="22" spans="1:15" x14ac:dyDescent="0.3">
      <c r="A22" s="103"/>
      <c r="B22" s="14">
        <v>20</v>
      </c>
      <c r="C22" s="6" t="s">
        <v>87</v>
      </c>
      <c r="D22" s="7">
        <v>135.58964499999999</v>
      </c>
      <c r="E22" s="7">
        <v>131.69999999999999</v>
      </c>
      <c r="F22" s="7">
        <v>124.4</v>
      </c>
      <c r="G22" s="7">
        <v>122.1</v>
      </c>
      <c r="H22" s="7">
        <v>132.5</v>
      </c>
      <c r="I22" s="7">
        <v>135.9</v>
      </c>
      <c r="J22" s="7">
        <v>146.5</v>
      </c>
      <c r="K22" s="7">
        <v>261.5</v>
      </c>
      <c r="L22" s="7">
        <v>514.6</v>
      </c>
      <c r="M22" s="7"/>
      <c r="N22" s="1"/>
      <c r="O22" s="1"/>
    </row>
    <row r="23" spans="1:15" x14ac:dyDescent="0.3">
      <c r="A23" s="103"/>
      <c r="B23" s="14">
        <v>16</v>
      </c>
      <c r="C23" s="1" t="s">
        <v>20</v>
      </c>
      <c r="D23" s="3">
        <v>275.93421899999998</v>
      </c>
      <c r="E23" s="3">
        <v>249.2</v>
      </c>
      <c r="F23" s="3">
        <v>251.7</v>
      </c>
      <c r="G23" s="3">
        <v>233.4</v>
      </c>
      <c r="H23" s="3">
        <v>183.8</v>
      </c>
      <c r="I23" s="3">
        <v>135.69999999999999</v>
      </c>
      <c r="J23" s="3">
        <v>131.19999999999999</v>
      </c>
      <c r="K23" s="3">
        <v>150</v>
      </c>
      <c r="L23" s="3">
        <v>157.9</v>
      </c>
      <c r="M23" s="3"/>
      <c r="N23" s="1"/>
      <c r="O23" s="1"/>
    </row>
    <row r="25" spans="1:15" x14ac:dyDescent="0.3">
      <c r="A25" s="9" t="s">
        <v>71</v>
      </c>
      <c r="B25" s="8"/>
      <c r="C25" s="9" t="s">
        <v>26</v>
      </c>
      <c r="D25" s="8">
        <v>13</v>
      </c>
      <c r="E25" s="8">
        <v>14</v>
      </c>
      <c r="F25" s="8">
        <v>15</v>
      </c>
      <c r="G25" s="8">
        <v>16</v>
      </c>
      <c r="H25" s="8">
        <v>17</v>
      </c>
      <c r="I25" s="8">
        <v>18</v>
      </c>
      <c r="J25" s="8">
        <v>19</v>
      </c>
      <c r="K25" s="8">
        <v>20</v>
      </c>
      <c r="L25" s="8" t="s">
        <v>3</v>
      </c>
      <c r="M25" s="8" t="s">
        <v>94</v>
      </c>
      <c r="N25" s="80" t="s">
        <v>116</v>
      </c>
      <c r="O25" s="91" t="s">
        <v>117</v>
      </c>
    </row>
    <row r="26" spans="1:15" x14ac:dyDescent="0.3">
      <c r="A26" s="6" t="s">
        <v>65</v>
      </c>
      <c r="B26" s="17" t="s">
        <v>27</v>
      </c>
      <c r="C26" s="6" t="s">
        <v>85</v>
      </c>
      <c r="D26" s="7">
        <f t="shared" ref="D26:H26" si="0">D4*D5</f>
        <v>838.5</v>
      </c>
      <c r="E26" s="7">
        <f t="shared" si="0"/>
        <v>1203</v>
      </c>
      <c r="F26" s="7">
        <f t="shared" si="0"/>
        <v>1327.5</v>
      </c>
      <c r="G26" s="7">
        <f t="shared" si="0"/>
        <v>964.46850000000006</v>
      </c>
      <c r="H26" s="7">
        <f t="shared" si="0"/>
        <v>525.87464999999997</v>
      </c>
      <c r="I26" s="7">
        <f t="shared" ref="I26:N26" si="1">I4*I5</f>
        <v>441.90000000000003</v>
      </c>
      <c r="J26" s="7">
        <f t="shared" si="1"/>
        <v>478.5</v>
      </c>
      <c r="K26" s="7">
        <f t="shared" si="1"/>
        <v>352.5</v>
      </c>
      <c r="L26" s="7">
        <f t="shared" si="1"/>
        <v>683.25</v>
      </c>
      <c r="M26" s="7">
        <f t="shared" si="1"/>
        <v>742.5</v>
      </c>
      <c r="N26" s="7">
        <f t="shared" si="1"/>
        <v>742.5</v>
      </c>
      <c r="O26" s="7"/>
    </row>
    <row r="27" spans="1:15" x14ac:dyDescent="0.3">
      <c r="A27" s="1" t="s">
        <v>66</v>
      </c>
      <c r="B27" s="2" t="s">
        <v>28</v>
      </c>
      <c r="C27" s="1" t="s">
        <v>47</v>
      </c>
      <c r="D27" s="30">
        <f t="shared" ref="D27:H27" si="2">D26/D6</f>
        <v>1.1896198614494227</v>
      </c>
      <c r="E27" s="30">
        <f t="shared" si="2"/>
        <v>1.6736822613312192</v>
      </c>
      <c r="F27" s="30">
        <f t="shared" si="2"/>
        <v>1.8254950495049505</v>
      </c>
      <c r="G27" s="30">
        <f t="shared" si="2"/>
        <v>1.3841396383467282</v>
      </c>
      <c r="H27" s="30">
        <f t="shared" si="2"/>
        <v>0.73620978580428398</v>
      </c>
      <c r="I27" s="30">
        <f t="shared" ref="I27:N27" si="3">I26/I6</f>
        <v>0.61591425425453328</v>
      </c>
      <c r="J27" s="30">
        <f t="shared" si="3"/>
        <v>0.64636831511975035</v>
      </c>
      <c r="K27" s="30">
        <f t="shared" si="3"/>
        <v>0.4730019859374161</v>
      </c>
      <c r="L27" s="30">
        <f t="shared" si="3"/>
        <v>0.81771506534539717</v>
      </c>
      <c r="M27" s="30">
        <f t="shared" si="3"/>
        <v>0.84305065116437494</v>
      </c>
      <c r="N27" s="30">
        <f t="shared" si="3"/>
        <v>0.79806958521878391</v>
      </c>
      <c r="O27" s="30"/>
    </row>
    <row r="28" spans="1:15" x14ac:dyDescent="0.3">
      <c r="A28" s="6" t="s">
        <v>67</v>
      </c>
      <c r="B28" s="17" t="s">
        <v>29</v>
      </c>
      <c r="C28" s="6" t="s">
        <v>48</v>
      </c>
      <c r="D28" s="29">
        <f t="shared" ref="D28:N28" si="4">D26/D7</f>
        <v>6.8656974354364264</v>
      </c>
      <c r="E28" s="29">
        <f t="shared" si="4"/>
        <v>8.9045151739452262</v>
      </c>
      <c r="F28" s="29">
        <f t="shared" si="4"/>
        <v>9.21875</v>
      </c>
      <c r="G28" s="29">
        <f t="shared" si="4"/>
        <v>8.0708661087866123</v>
      </c>
      <c r="H28" s="29">
        <f t="shared" si="4"/>
        <v>5.8495511679644041</v>
      </c>
      <c r="I28" s="29">
        <f t="shared" si="4"/>
        <v>4.8882743362831862</v>
      </c>
      <c r="J28" s="29">
        <f t="shared" si="4"/>
        <v>4.711500590783773</v>
      </c>
      <c r="K28" s="29">
        <f t="shared" si="4"/>
        <v>3.8950276243093924</v>
      </c>
      <c r="L28" s="29">
        <f t="shared" si="4"/>
        <v>5.6804955104755566</v>
      </c>
      <c r="M28" s="29">
        <f t="shared" si="4"/>
        <v>5.5810282621767895</v>
      </c>
      <c r="N28" s="29">
        <f t="shared" si="4"/>
        <v>5.0192658689920906</v>
      </c>
      <c r="O28" s="29"/>
    </row>
    <row r="29" spans="1:15" x14ac:dyDescent="0.3">
      <c r="A29" s="15" t="s">
        <v>68</v>
      </c>
      <c r="B29" s="2" t="s">
        <v>30</v>
      </c>
      <c r="C29" s="1" t="s">
        <v>49</v>
      </c>
      <c r="D29" s="3">
        <f t="shared" ref="D29:L29" si="5">D15-D14</f>
        <v>-537.87580300000002</v>
      </c>
      <c r="E29" s="3">
        <f t="shared" si="5"/>
        <v>-660.80974400000002</v>
      </c>
      <c r="F29" s="3">
        <f t="shared" si="5"/>
        <v>-595.52971700000001</v>
      </c>
      <c r="G29" s="3">
        <f t="shared" si="5"/>
        <v>-417.09999999999997</v>
      </c>
      <c r="H29" s="3">
        <f t="shared" si="5"/>
        <v>-106.89999999999998</v>
      </c>
      <c r="I29" s="3">
        <f t="shared" si="5"/>
        <v>469.9</v>
      </c>
      <c r="J29" s="3">
        <f t="shared" si="5"/>
        <v>1007.5999999999999</v>
      </c>
      <c r="K29" s="3">
        <f t="shared" si="5"/>
        <v>1339.6999999999998</v>
      </c>
      <c r="L29" s="3">
        <f t="shared" si="5"/>
        <v>1472.2999999999997</v>
      </c>
      <c r="M29" s="3">
        <f t="shared" ref="M29" si="6">M15-M14</f>
        <v>0</v>
      </c>
      <c r="N29" s="1"/>
      <c r="O29" s="1"/>
    </row>
    <row r="30" spans="1:15" x14ac:dyDescent="0.3">
      <c r="A30" s="6" t="s">
        <v>69</v>
      </c>
      <c r="B30" s="17" t="s">
        <v>31</v>
      </c>
      <c r="C30" s="6" t="s">
        <v>50</v>
      </c>
      <c r="D30" s="7">
        <f t="shared" ref="D30:K30" si="7">D26+D29+D16+D17</f>
        <v>302.22856899999999</v>
      </c>
      <c r="E30" s="7">
        <f t="shared" si="7"/>
        <v>541.86655299999995</v>
      </c>
      <c r="F30" s="7">
        <f t="shared" si="7"/>
        <v>732.14560500000005</v>
      </c>
      <c r="G30" s="7">
        <f t="shared" si="7"/>
        <v>547.28936500000009</v>
      </c>
      <c r="H30" s="7">
        <f t="shared" si="7"/>
        <v>419.12138800000002</v>
      </c>
      <c r="I30" s="7">
        <f t="shared" si="7"/>
        <v>911.8</v>
      </c>
      <c r="J30" s="7">
        <f t="shared" si="7"/>
        <v>1486.1</v>
      </c>
      <c r="K30" s="7">
        <f t="shared" si="7"/>
        <v>1692.1999999999998</v>
      </c>
      <c r="L30" s="7">
        <v>0</v>
      </c>
      <c r="M30" s="7">
        <v>0</v>
      </c>
      <c r="N30" s="1"/>
      <c r="O30" s="1"/>
    </row>
    <row r="31" spans="1:15" x14ac:dyDescent="0.3">
      <c r="A31" s="1" t="s">
        <v>70</v>
      </c>
      <c r="B31" s="2" t="s">
        <v>32</v>
      </c>
      <c r="C31" s="1" t="s">
        <v>51</v>
      </c>
      <c r="D31" s="30">
        <f t="shared" ref="D31:L31" si="8">D30/D7</f>
        <v>2.474668945854408</v>
      </c>
      <c r="E31" s="30">
        <f t="shared" si="8"/>
        <v>4.0108553145817911</v>
      </c>
      <c r="F31" s="30">
        <f t="shared" si="8"/>
        <v>5.084344479166667</v>
      </c>
      <c r="G31" s="30">
        <f t="shared" si="8"/>
        <v>4.5798273221757331</v>
      </c>
      <c r="H31" s="30">
        <f t="shared" si="8"/>
        <v>4.6620844048943271</v>
      </c>
      <c r="I31" s="30">
        <f t="shared" si="8"/>
        <v>10.086283185840706</v>
      </c>
      <c r="J31" s="30">
        <f t="shared" si="8"/>
        <v>14.6327294210319</v>
      </c>
      <c r="K31" s="30">
        <f t="shared" si="8"/>
        <v>18.69834254143646</v>
      </c>
      <c r="L31" s="30">
        <f t="shared" si="8"/>
        <v>0</v>
      </c>
      <c r="M31" s="30">
        <f t="shared" ref="M31" si="9">M30/M7</f>
        <v>0</v>
      </c>
      <c r="N31" s="1"/>
      <c r="O31" s="1"/>
    </row>
    <row r="32" spans="1:15" x14ac:dyDescent="0.3">
      <c r="A32" s="18" t="s">
        <v>72</v>
      </c>
      <c r="B32" s="17" t="s">
        <v>33</v>
      </c>
      <c r="C32" s="6" t="s">
        <v>109</v>
      </c>
      <c r="D32" s="27">
        <f t="shared" ref="D32:G32" si="10">D7/D6</f>
        <v>0.17327006799183292</v>
      </c>
      <c r="E32" s="27">
        <f t="shared" si="10"/>
        <v>0.18795883084442869</v>
      </c>
      <c r="F32" s="27">
        <f t="shared" si="10"/>
        <v>0.198019801980198</v>
      </c>
      <c r="G32" s="27">
        <f t="shared" si="10"/>
        <v>0.17149827784156144</v>
      </c>
      <c r="H32" s="27">
        <f t="shared" ref="H32:N32" si="11">H7/H6</f>
        <v>0.12585748285034301</v>
      </c>
      <c r="I32" s="27">
        <f t="shared" si="11"/>
        <v>0.12599829958047026</v>
      </c>
      <c r="J32" s="27">
        <f t="shared" si="11"/>
        <v>0.13718947979845736</v>
      </c>
      <c r="K32" s="27">
        <f t="shared" si="11"/>
        <v>0.12143738929740755</v>
      </c>
      <c r="L32" s="27">
        <f t="shared" si="11"/>
        <v>0.14395136196084066</v>
      </c>
      <c r="M32" s="27">
        <f t="shared" si="11"/>
        <v>0.15105650994061742</v>
      </c>
      <c r="N32" s="27">
        <f t="shared" si="11"/>
        <v>0.15900125756419489</v>
      </c>
      <c r="O32" s="27"/>
    </row>
    <row r="33" spans="1:15" x14ac:dyDescent="0.3">
      <c r="A33" s="16" t="s">
        <v>73</v>
      </c>
      <c r="B33" s="2" t="s">
        <v>34</v>
      </c>
      <c r="C33" s="1" t="s">
        <v>110</v>
      </c>
      <c r="D33" s="28">
        <f t="shared" ref="D33:G33" si="12">D8/D6</f>
        <v>0.13636008794691515</v>
      </c>
      <c r="E33" s="28">
        <f t="shared" si="12"/>
        <v>0.1883762079669552</v>
      </c>
      <c r="F33" s="28">
        <f t="shared" si="12"/>
        <v>0.15112761276127612</v>
      </c>
      <c r="G33" s="28">
        <f t="shared" si="12"/>
        <v>0.13045350172215844</v>
      </c>
      <c r="H33" s="28">
        <f t="shared" ref="H33:N33" si="13">H8/H6</f>
        <v>8.4278314433711338E-2</v>
      </c>
      <c r="I33" s="28">
        <f t="shared" si="13"/>
        <v>7.9445830487685887E-2</v>
      </c>
      <c r="J33" s="28">
        <f t="shared" si="13"/>
        <v>6.3880371205878778E-2</v>
      </c>
      <c r="K33" s="28">
        <f t="shared" si="13"/>
        <v>4.6307229885674407E-2</v>
      </c>
      <c r="L33" s="28">
        <f t="shared" si="13"/>
        <v>7.6571401215950977E-2</v>
      </c>
      <c r="M33" s="28">
        <f t="shared" si="13"/>
        <v>8.3828187980425323E-2</v>
      </c>
      <c r="N33" s="28">
        <f t="shared" si="13"/>
        <v>9.2447090942313279E-2</v>
      </c>
      <c r="O33" s="28"/>
    </row>
    <row r="34" spans="1:15" x14ac:dyDescent="0.3">
      <c r="A34" s="18" t="s">
        <v>74</v>
      </c>
      <c r="B34" s="17" t="s">
        <v>35</v>
      </c>
      <c r="C34" s="6" t="s">
        <v>54</v>
      </c>
      <c r="D34" s="27">
        <f t="shared" ref="D34:G34" si="14">D11/D10</f>
        <v>0.26603065415492094</v>
      </c>
      <c r="E34" s="27">
        <f t="shared" si="14"/>
        <v>0.39965294957315578</v>
      </c>
      <c r="F34" s="27">
        <f t="shared" si="14"/>
        <v>0.31067775547270815</v>
      </c>
      <c r="G34" s="27">
        <f t="shared" si="14"/>
        <v>0.27347417840375587</v>
      </c>
      <c r="H34" s="27">
        <f t="shared" ref="H34:N34" si="15">H11/H10</f>
        <v>0.35581947743467934</v>
      </c>
      <c r="I34" s="27">
        <f t="shared" si="15"/>
        <v>0.25196850393700793</v>
      </c>
      <c r="J34" s="27">
        <f t="shared" si="15"/>
        <v>0.17450042217844075</v>
      </c>
      <c r="K34" s="27">
        <f t="shared" si="15"/>
        <v>0.27647826086956523</v>
      </c>
      <c r="L34" s="27">
        <f t="shared" si="15"/>
        <v>0.31487743026204568</v>
      </c>
      <c r="M34" s="27">
        <f t="shared" si="15"/>
        <v>0.25575567736883315</v>
      </c>
      <c r="N34" s="27">
        <f t="shared" si="15"/>
        <v>0.28954988154777572</v>
      </c>
      <c r="O34" s="27"/>
    </row>
    <row r="35" spans="1:15" x14ac:dyDescent="0.3">
      <c r="A35" s="16" t="s">
        <v>75</v>
      </c>
      <c r="B35" s="2" t="s">
        <v>36</v>
      </c>
      <c r="C35" s="1" t="s">
        <v>108</v>
      </c>
      <c r="D35" s="28">
        <f t="shared" ref="D35:G35" si="16">D12/D6</f>
        <v>8.6566398533963848E-2</v>
      </c>
      <c r="E35" s="28">
        <f t="shared" si="16"/>
        <v>0.10690925226050964</v>
      </c>
      <c r="F35" s="28">
        <f t="shared" si="16"/>
        <v>9.9147414741474135E-2</v>
      </c>
      <c r="G35" s="28">
        <f t="shared" si="16"/>
        <v>9.1704936854190594E-2</v>
      </c>
      <c r="H35" s="28">
        <f t="shared" ref="H35:N35" si="17">H12/H6</f>
        <v>5.5998880022399555E-2</v>
      </c>
      <c r="I35" s="28">
        <f t="shared" si="17"/>
        <v>5.2963886991790596E-2</v>
      </c>
      <c r="J35" s="28">
        <f t="shared" si="17"/>
        <v>3.9444001675019248E-2</v>
      </c>
      <c r="K35" s="28">
        <f t="shared" si="17"/>
        <v>2.2368632923621921E-2</v>
      </c>
      <c r="L35" s="28">
        <f t="shared" si="17"/>
        <v>4.4736464167743795E-2</v>
      </c>
      <c r="M35" s="28">
        <f t="shared" si="17"/>
        <v>4.8823135353627103E-2</v>
      </c>
      <c r="N35" s="28">
        <f t="shared" si="17"/>
        <v>5.777271408149446E-2</v>
      </c>
      <c r="O35" s="28"/>
    </row>
    <row r="36" spans="1:15" x14ac:dyDescent="0.3">
      <c r="A36" s="18" t="s">
        <v>76</v>
      </c>
      <c r="B36" s="17" t="s">
        <v>37</v>
      </c>
      <c r="C36" s="6" t="s">
        <v>56</v>
      </c>
      <c r="D36" s="29">
        <f>IF(D26/D12&lt;0,0,D26/D12)</f>
        <v>13.742282012375528</v>
      </c>
      <c r="E36" s="29">
        <f t="shared" ref="E36:N36" si="18">IF(E26/E12&lt;0,0,E26/E12)</f>
        <v>15.655167592538177</v>
      </c>
      <c r="F36" s="29">
        <f t="shared" si="18"/>
        <v>18.411927877947296</v>
      </c>
      <c r="G36" s="29">
        <f t="shared" si="18"/>
        <v>15.093403755868547</v>
      </c>
      <c r="H36" s="29">
        <f t="shared" si="18"/>
        <v>13.146866249999999</v>
      </c>
      <c r="I36" s="29">
        <f t="shared" si="18"/>
        <v>11.628947368421054</v>
      </c>
      <c r="J36" s="29">
        <f t="shared" si="18"/>
        <v>16.386986301369863</v>
      </c>
      <c r="K36" s="29">
        <f t="shared" si="18"/>
        <v>21.145770845830832</v>
      </c>
      <c r="L36" s="29">
        <f t="shared" si="18"/>
        <v>18.278491171749597</v>
      </c>
      <c r="M36" s="29">
        <f t="shared" si="18"/>
        <v>17.267441860465116</v>
      </c>
      <c r="N36" s="29">
        <f t="shared" si="18"/>
        <v>13.813953488372093</v>
      </c>
      <c r="O36" s="29"/>
    </row>
    <row r="37" spans="1:15" x14ac:dyDescent="0.3">
      <c r="A37" s="16" t="s">
        <v>77</v>
      </c>
      <c r="B37" s="2" t="s">
        <v>38</v>
      </c>
      <c r="C37" s="1" t="s">
        <v>57</v>
      </c>
      <c r="D37" s="30">
        <f t="shared" ref="D37:K37" si="19">D26/D23</f>
        <v>3.0387677289129553</v>
      </c>
      <c r="E37" s="30">
        <f t="shared" si="19"/>
        <v>4.8274478330658104</v>
      </c>
      <c r="F37" s="30">
        <f t="shared" si="19"/>
        <v>5.2741358760429087</v>
      </c>
      <c r="G37" s="30">
        <f t="shared" si="19"/>
        <v>4.1322557840616971</v>
      </c>
      <c r="H37" s="30">
        <f t="shared" si="19"/>
        <v>2.8611243199129484</v>
      </c>
      <c r="I37" s="30">
        <f t="shared" si="19"/>
        <v>3.2564480471628596</v>
      </c>
      <c r="J37" s="30">
        <f t="shared" si="19"/>
        <v>3.6471036585365857</v>
      </c>
      <c r="K37" s="30">
        <f t="shared" si="19"/>
        <v>2.35</v>
      </c>
      <c r="L37" s="30">
        <f t="shared" ref="L37" si="20">L26/L23</f>
        <v>4.3271057631412289</v>
      </c>
      <c r="M37" s="30"/>
      <c r="N37" s="1"/>
      <c r="O37" s="1"/>
    </row>
    <row r="38" spans="1:15" x14ac:dyDescent="0.3">
      <c r="A38" s="18" t="s">
        <v>78</v>
      </c>
      <c r="B38" s="17" t="s">
        <v>39</v>
      </c>
      <c r="C38" s="6" t="s">
        <v>106</v>
      </c>
      <c r="D38" s="55">
        <f t="shared" ref="D38:K38" si="21">D8/D23</f>
        <v>0.34831852442338807</v>
      </c>
      <c r="E38" s="55">
        <f t="shared" si="21"/>
        <v>0.543338683788122</v>
      </c>
      <c r="F38" s="55">
        <f t="shared" si="21"/>
        <v>0.4366309098132698</v>
      </c>
      <c r="G38" s="55">
        <f t="shared" si="21"/>
        <v>0.38946015424164526</v>
      </c>
      <c r="H38" s="55">
        <f t="shared" si="21"/>
        <v>0.32752992383025026</v>
      </c>
      <c r="I38" s="55">
        <f t="shared" si="21"/>
        <v>0.42004421518054536</v>
      </c>
      <c r="J38" s="55">
        <f t="shared" si="21"/>
        <v>0.36044207317073174</v>
      </c>
      <c r="K38" s="55">
        <f t="shared" si="21"/>
        <v>0.23006666666666664</v>
      </c>
      <c r="L38" s="55">
        <f t="shared" ref="L38" si="22">L8/L23</f>
        <v>0.40519316022799234</v>
      </c>
      <c r="M38" s="55"/>
      <c r="N38" s="1"/>
      <c r="O38" s="1"/>
    </row>
    <row r="39" spans="1:15" x14ac:dyDescent="0.3">
      <c r="A39" s="16" t="s">
        <v>79</v>
      </c>
      <c r="B39" s="2" t="s">
        <v>40</v>
      </c>
      <c r="C39" s="1" t="s">
        <v>107</v>
      </c>
      <c r="D39" s="56">
        <f t="shared" ref="D39:K39" si="23">D12/D23</f>
        <v>0.22112540887870091</v>
      </c>
      <c r="E39" s="56">
        <f t="shared" si="23"/>
        <v>0.30836130016051366</v>
      </c>
      <c r="F39" s="56">
        <f t="shared" si="23"/>
        <v>0.28645212554628524</v>
      </c>
      <c r="G39" s="56">
        <f t="shared" si="23"/>
        <v>0.27377892030848328</v>
      </c>
      <c r="H39" s="56">
        <f t="shared" si="23"/>
        <v>0.2176278563656148</v>
      </c>
      <c r="I39" s="56">
        <f t="shared" si="23"/>
        <v>0.28002947678703022</v>
      </c>
      <c r="J39" s="56">
        <f t="shared" si="23"/>
        <v>0.2225609756097561</v>
      </c>
      <c r="K39" s="56">
        <f t="shared" si="23"/>
        <v>0.11113333333333335</v>
      </c>
      <c r="L39" s="56">
        <f t="shared" ref="L39" si="24">L12/L23</f>
        <v>0.23673210892970234</v>
      </c>
      <c r="M39" s="56"/>
      <c r="N39" s="1"/>
      <c r="O39" s="1"/>
    </row>
    <row r="40" spans="1:15" x14ac:dyDescent="0.3">
      <c r="A40" s="18" t="s">
        <v>80</v>
      </c>
      <c r="B40" s="17" t="s">
        <v>41</v>
      </c>
      <c r="C40" s="6" t="s">
        <v>61</v>
      </c>
      <c r="D40" s="7">
        <f t="shared" ref="D40:K40" si="25">D20-D19</f>
        <v>218.97852400000005</v>
      </c>
      <c r="E40" s="7">
        <f t="shared" si="25"/>
        <v>213.10725000000002</v>
      </c>
      <c r="F40" s="7">
        <f t="shared" si="25"/>
        <v>189.60000000000002</v>
      </c>
      <c r="G40" s="7">
        <f t="shared" si="25"/>
        <v>41.5</v>
      </c>
      <c r="H40" s="7">
        <f t="shared" si="25"/>
        <v>-211.70000000000005</v>
      </c>
      <c r="I40" s="7">
        <f t="shared" si="25"/>
        <v>-608</v>
      </c>
      <c r="J40" s="7">
        <f t="shared" si="25"/>
        <v>-1091.2</v>
      </c>
      <c r="K40" s="7">
        <f t="shared" si="25"/>
        <v>-1342.7999999999997</v>
      </c>
      <c r="L40" s="7">
        <f t="shared" ref="L40" si="26">L20-L19</f>
        <v>-971.39999999999986</v>
      </c>
      <c r="M40" s="7"/>
      <c r="N40" s="1"/>
      <c r="O40" s="1"/>
    </row>
    <row r="41" spans="1:15" x14ac:dyDescent="0.3">
      <c r="A41" s="53" t="s">
        <v>96</v>
      </c>
      <c r="B41" s="49" t="s">
        <v>42</v>
      </c>
      <c r="C41" s="52" t="s">
        <v>98</v>
      </c>
      <c r="D41" s="29">
        <f>D20/D19</f>
        <v>1.4473893852526447</v>
      </c>
      <c r="E41" s="29">
        <f t="shared" ref="E41:K41" si="27">E20/E19</f>
        <v>1.3451729065493563</v>
      </c>
      <c r="F41" s="29">
        <f t="shared" si="27"/>
        <v>1.3297391304347828</v>
      </c>
      <c r="G41" s="29">
        <f t="shared" si="27"/>
        <v>1.0509953305480462</v>
      </c>
      <c r="H41" s="29">
        <f t="shared" si="27"/>
        <v>0.81462346760070048</v>
      </c>
      <c r="I41" s="29">
        <f t="shared" si="27"/>
        <v>0.55105958797902976</v>
      </c>
      <c r="J41" s="29">
        <f t="shared" si="27"/>
        <v>0.41622084314145086</v>
      </c>
      <c r="K41" s="29">
        <f t="shared" si="27"/>
        <v>0.40351812366737744</v>
      </c>
      <c r="L41" s="29">
        <f t="shared" ref="L41" si="28">L20/L19</f>
        <v>0.6202650404597162</v>
      </c>
      <c r="M41" s="29"/>
      <c r="N41" s="1"/>
      <c r="O41" s="1"/>
    </row>
    <row r="42" spans="1:15" x14ac:dyDescent="0.3">
      <c r="A42" s="16" t="s">
        <v>81</v>
      </c>
      <c r="B42" s="17" t="s">
        <v>43</v>
      </c>
      <c r="C42" s="1" t="s">
        <v>60</v>
      </c>
      <c r="D42" s="30">
        <f t="shared" ref="D42:K42" si="29">(D20-D21)/D19</f>
        <v>1.4351432574044536</v>
      </c>
      <c r="E42" s="30">
        <f t="shared" si="29"/>
        <v>1.3357785623494931</v>
      </c>
      <c r="F42" s="30">
        <f t="shared" si="29"/>
        <v>1.3201739130434782</v>
      </c>
      <c r="G42" s="30">
        <f t="shared" si="29"/>
        <v>1.0438682723027772</v>
      </c>
      <c r="H42" s="30">
        <f t="shared" si="29"/>
        <v>0.80893169877408055</v>
      </c>
      <c r="I42" s="30">
        <f t="shared" si="29"/>
        <v>0.54692461049988916</v>
      </c>
      <c r="J42" s="30">
        <f t="shared" si="29"/>
        <v>0.41290391611384547</v>
      </c>
      <c r="K42" s="30">
        <f t="shared" si="29"/>
        <v>0.40040867093105903</v>
      </c>
      <c r="L42" s="30">
        <f t="shared" ref="L42" si="30">(L20-L21)/L19</f>
        <v>0.61729408545404796</v>
      </c>
      <c r="M42" s="30"/>
      <c r="N42" s="1"/>
      <c r="O42" s="1"/>
    </row>
    <row r="43" spans="1:15" x14ac:dyDescent="0.3">
      <c r="A43" s="18" t="s">
        <v>82</v>
      </c>
      <c r="B43" s="49" t="s">
        <v>44</v>
      </c>
      <c r="C43" s="6" t="s">
        <v>62</v>
      </c>
      <c r="D43" s="29">
        <f t="shared" ref="D43:K43" si="31">D14/D19</f>
        <v>1.1132217264520932</v>
      </c>
      <c r="E43" s="29">
        <f t="shared" si="31"/>
        <v>1.0764132620604956</v>
      </c>
      <c r="F43" s="29">
        <f t="shared" si="31"/>
        <v>1.0498255947826087</v>
      </c>
      <c r="G43" s="29">
        <f t="shared" si="31"/>
        <v>0.83669206193167855</v>
      </c>
      <c r="H43" s="29">
        <f t="shared" si="31"/>
        <v>0.6449211908931699</v>
      </c>
      <c r="I43" s="29">
        <f t="shared" si="31"/>
        <v>0.39976371557262053</v>
      </c>
      <c r="J43" s="29">
        <f t="shared" si="31"/>
        <v>0.26171624224267065</v>
      </c>
      <c r="K43" s="29">
        <f t="shared" si="31"/>
        <v>0.26656894100923956</v>
      </c>
      <c r="L43" s="29">
        <f t="shared" ref="L43" si="32">L14/L19</f>
        <v>0.38853055001759118</v>
      </c>
      <c r="M43" s="29"/>
      <c r="N43" s="1"/>
      <c r="O43" s="1"/>
    </row>
    <row r="44" spans="1:15" x14ac:dyDescent="0.3">
      <c r="A44" s="16" t="s">
        <v>83</v>
      </c>
      <c r="B44" s="17" t="s">
        <v>45</v>
      </c>
      <c r="C44" s="1" t="s">
        <v>63</v>
      </c>
      <c r="D44" s="30">
        <f t="shared" ref="D44:K44" si="33">D29/D7</f>
        <v>-4.4041652012407972</v>
      </c>
      <c r="E44" s="30">
        <f t="shared" si="33"/>
        <v>-4.8912638341968915</v>
      </c>
      <c r="F44" s="30">
        <f t="shared" si="33"/>
        <v>-4.1356230347222223</v>
      </c>
      <c r="G44" s="30">
        <f t="shared" si="33"/>
        <v>-3.4903765690376565</v>
      </c>
      <c r="H44" s="30">
        <f t="shared" si="33"/>
        <v>-1.1890989988876526</v>
      </c>
      <c r="I44" s="30">
        <f t="shared" si="33"/>
        <v>5.1980088495575218</v>
      </c>
      <c r="J44" s="30">
        <f t="shared" si="33"/>
        <v>9.9212288302481273</v>
      </c>
      <c r="K44" s="30">
        <f t="shared" si="33"/>
        <v>14.80331491712707</v>
      </c>
      <c r="L44" s="30">
        <f t="shared" ref="L44" si="34">L29/L7</f>
        <v>12.240605254406383</v>
      </c>
      <c r="M44" s="30"/>
      <c r="N44" s="1"/>
      <c r="O44" s="1"/>
    </row>
    <row r="45" spans="1:15" x14ac:dyDescent="0.3">
      <c r="A45" s="18" t="s">
        <v>84</v>
      </c>
      <c r="B45" s="54" t="s">
        <v>99</v>
      </c>
      <c r="C45" s="6" t="s">
        <v>64</v>
      </c>
      <c r="D45" s="29">
        <f t="shared" ref="D45:K45" si="35">D18/D23</f>
        <v>2.9869445586957086</v>
      </c>
      <c r="E45" s="29">
        <f t="shared" si="35"/>
        <v>3.7391130738362763</v>
      </c>
      <c r="F45" s="29">
        <f t="shared" si="35"/>
        <v>3.4471094715931669</v>
      </c>
      <c r="G45" s="29">
        <f t="shared" si="35"/>
        <v>4.6418166238217653</v>
      </c>
      <c r="H45" s="29">
        <f t="shared" si="35"/>
        <v>7.7524483133841136</v>
      </c>
      <c r="I45" s="29">
        <f t="shared" si="35"/>
        <v>12.665438467207077</v>
      </c>
      <c r="J45" s="29">
        <f t="shared" si="35"/>
        <v>18.157774390243905</v>
      </c>
      <c r="K45" s="29">
        <f t="shared" si="35"/>
        <v>18.3</v>
      </c>
      <c r="L45" s="29">
        <f t="shared" ref="L45" si="36">L18/L23</f>
        <v>20.751741608613045</v>
      </c>
      <c r="M45" s="29"/>
      <c r="N45" s="1"/>
      <c r="O45" s="1"/>
    </row>
    <row r="46" spans="1:15" x14ac:dyDescent="0.3">
      <c r="A46" s="18" t="s">
        <v>97</v>
      </c>
      <c r="B46" s="17" t="s">
        <v>100</v>
      </c>
      <c r="C46" s="6" t="s">
        <v>111</v>
      </c>
      <c r="D46" s="28">
        <f t="shared" ref="D46:N46" si="37">D13/D4</f>
        <v>7.1556350626118079E-2</v>
      </c>
      <c r="E46" s="28">
        <f t="shared" si="37"/>
        <v>5.7980049875311725E-2</v>
      </c>
      <c r="F46" s="28">
        <f t="shared" si="37"/>
        <v>5.3107344632768359E-2</v>
      </c>
      <c r="G46" s="28">
        <f t="shared" si="37"/>
        <v>7.441860465116279E-2</v>
      </c>
      <c r="H46" s="28">
        <f t="shared" si="37"/>
        <v>0.10835471913316225</v>
      </c>
      <c r="I46" s="28">
        <f t="shared" si="37"/>
        <v>3.3944331296673458E-2</v>
      </c>
      <c r="J46" s="28">
        <f t="shared" si="37"/>
        <v>3.1347962382445145E-2</v>
      </c>
      <c r="K46" s="28">
        <f t="shared" si="37"/>
        <v>0</v>
      </c>
      <c r="L46" s="28">
        <f t="shared" si="37"/>
        <v>2.6344676180021953E-2</v>
      </c>
      <c r="M46" s="28">
        <f t="shared" si="37"/>
        <v>4.0404040404040407E-2</v>
      </c>
      <c r="N46" s="28">
        <f t="shared" si="37"/>
        <v>4.8484848484848478E-2</v>
      </c>
      <c r="O46" s="28"/>
    </row>
    <row r="47" spans="1:15" x14ac:dyDescent="0.3">
      <c r="B47" t="s">
        <v>89</v>
      </c>
      <c r="C47" s="26" t="s">
        <v>90</v>
      </c>
    </row>
  </sheetData>
  <mergeCells count="2">
    <mergeCell ref="A6:A13"/>
    <mergeCell ref="A14:A2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55156-C80D-4434-B95D-F64EC745EB5A}">
  <sheetPr codeName="Planilha13"/>
  <dimension ref="A3:AF46"/>
  <sheetViews>
    <sheetView workbookViewId="0">
      <pane xSplit="3" ySplit="3" topLeftCell="R25" activePane="bottomRight" state="frozen"/>
      <selection activeCell="C22" sqref="C22"/>
      <selection pane="topRight" activeCell="C22" sqref="C22"/>
      <selection pane="bottomLeft" activeCell="C22" sqref="C22"/>
      <selection pane="bottomRight" activeCell="X42" sqref="X42"/>
    </sheetView>
  </sheetViews>
  <sheetFormatPr defaultRowHeight="14.4" x14ac:dyDescent="0.3"/>
  <cols>
    <col min="1" max="1" width="10" bestFit="1" customWidth="1"/>
    <col min="2" max="2" width="4" bestFit="1" customWidth="1"/>
    <col min="3" max="3" width="21.88671875" bestFit="1" customWidth="1"/>
    <col min="4" max="28" width="8.33203125" customWidth="1"/>
  </cols>
  <sheetData>
    <row r="3" spans="1:32" s="10" customFormat="1" x14ac:dyDescent="0.3">
      <c r="A3" s="9" t="s">
        <v>25</v>
      </c>
      <c r="B3" s="8" t="s">
        <v>23</v>
      </c>
      <c r="C3" s="9" t="s">
        <v>24</v>
      </c>
      <c r="D3" s="8">
        <v>97</v>
      </c>
      <c r="E3" s="8">
        <v>98</v>
      </c>
      <c r="F3" s="8">
        <v>99</v>
      </c>
      <c r="G3" s="8">
        <v>2000</v>
      </c>
      <c r="H3" s="8">
        <v>1</v>
      </c>
      <c r="I3" s="8">
        <v>2</v>
      </c>
      <c r="J3" s="8">
        <v>3</v>
      </c>
      <c r="K3" s="8">
        <v>4</v>
      </c>
      <c r="L3" s="8">
        <v>5</v>
      </c>
      <c r="M3" s="8">
        <v>6</v>
      </c>
      <c r="N3" s="8">
        <v>7</v>
      </c>
      <c r="O3" s="8">
        <v>8</v>
      </c>
      <c r="P3" s="8">
        <v>9</v>
      </c>
      <c r="Q3" s="8">
        <v>10</v>
      </c>
      <c r="R3" s="8">
        <v>11</v>
      </c>
      <c r="S3" s="8">
        <v>12</v>
      </c>
      <c r="T3" s="8">
        <v>13</v>
      </c>
      <c r="U3" s="8">
        <v>14</v>
      </c>
      <c r="V3" s="8">
        <v>15</v>
      </c>
      <c r="W3" s="8">
        <v>16</v>
      </c>
      <c r="X3" s="8">
        <v>17</v>
      </c>
      <c r="Y3" s="8">
        <v>18</v>
      </c>
      <c r="Z3" s="8">
        <v>19</v>
      </c>
      <c r="AA3" s="8">
        <v>20</v>
      </c>
      <c r="AB3" s="8" t="s">
        <v>3</v>
      </c>
      <c r="AC3" s="8" t="s">
        <v>94</v>
      </c>
      <c r="AD3" s="8" t="s">
        <v>116</v>
      </c>
      <c r="AE3" s="8" t="s">
        <v>117</v>
      </c>
      <c r="AF3" s="8" t="s">
        <v>118</v>
      </c>
    </row>
    <row r="4" spans="1:32" x14ac:dyDescent="0.3">
      <c r="A4" s="4" t="s">
        <v>5</v>
      </c>
      <c r="B4" s="11">
        <v>1</v>
      </c>
      <c r="C4" s="6" t="s">
        <v>4</v>
      </c>
      <c r="D4" s="19">
        <v>3.34</v>
      </c>
      <c r="E4" s="19">
        <v>3.6</v>
      </c>
      <c r="F4" s="19">
        <v>3.33</v>
      </c>
      <c r="G4" s="19">
        <v>3.38</v>
      </c>
      <c r="H4" s="19">
        <v>2.34</v>
      </c>
      <c r="I4" s="19">
        <v>1.53</v>
      </c>
      <c r="J4" s="19">
        <v>2.0099999999999998</v>
      </c>
      <c r="K4" s="19">
        <v>2.23</v>
      </c>
      <c r="L4" s="19">
        <v>2.6</v>
      </c>
      <c r="M4" s="19">
        <v>3.84</v>
      </c>
      <c r="N4" s="19">
        <v>4.47</v>
      </c>
      <c r="O4" s="19">
        <v>2.7</v>
      </c>
      <c r="P4" s="19">
        <v>3.11</v>
      </c>
      <c r="Q4" s="19">
        <v>2.4900000000000002</v>
      </c>
      <c r="R4" s="19">
        <v>2.39</v>
      </c>
      <c r="S4" s="19">
        <v>2.29</v>
      </c>
      <c r="T4" s="19">
        <v>2.67</v>
      </c>
      <c r="U4" s="19">
        <v>3.22</v>
      </c>
      <c r="V4" s="19">
        <v>3.32</v>
      </c>
      <c r="W4" s="19">
        <v>2.89</v>
      </c>
      <c r="X4" s="19">
        <v>2.8196300000000001</v>
      </c>
      <c r="Y4" s="19">
        <v>2.98</v>
      </c>
      <c r="Z4" s="19">
        <v>3.78</v>
      </c>
      <c r="AA4" s="19">
        <v>5.1559999999999997</v>
      </c>
      <c r="AB4" s="19">
        <v>4.8319999999999999</v>
      </c>
      <c r="AC4" s="19">
        <v>4.0819999999999999</v>
      </c>
      <c r="AD4" s="19">
        <v>4.0819999999999999</v>
      </c>
      <c r="AE4" s="19">
        <v>4.0819999999999999</v>
      </c>
      <c r="AF4" s="19">
        <v>4.0819999999999999</v>
      </c>
    </row>
    <row r="5" spans="1:32" x14ac:dyDescent="0.3">
      <c r="A5" s="5" t="s">
        <v>8</v>
      </c>
      <c r="B5" s="12">
        <v>3</v>
      </c>
      <c r="C5" s="1" t="s">
        <v>86</v>
      </c>
      <c r="D5" s="3"/>
      <c r="E5" s="3"/>
      <c r="F5" s="3">
        <v>3620</v>
      </c>
      <c r="G5" s="3">
        <v>3620</v>
      </c>
      <c r="H5" s="3">
        <v>3620</v>
      </c>
      <c r="I5" s="3">
        <v>3620</v>
      </c>
      <c r="J5" s="3">
        <v>3620</v>
      </c>
      <c r="K5" s="3">
        <v>3620</v>
      </c>
      <c r="L5" s="3">
        <v>3620</v>
      </c>
      <c r="M5" s="3">
        <v>3620</v>
      </c>
      <c r="N5" s="3">
        <v>3620</v>
      </c>
      <c r="O5" s="3">
        <v>3620</v>
      </c>
      <c r="P5" s="3">
        <v>3620</v>
      </c>
      <c r="Q5" s="3">
        <v>3620</v>
      </c>
      <c r="R5" s="3">
        <v>3624</v>
      </c>
      <c r="S5" s="3">
        <v>3624</v>
      </c>
      <c r="T5" s="3">
        <v>3627</v>
      </c>
      <c r="U5" s="3">
        <v>3632</v>
      </c>
      <c r="V5" s="3">
        <v>3634</v>
      </c>
      <c r="W5" s="3">
        <v>3719</v>
      </c>
      <c r="X5" s="3">
        <v>3749</v>
      </c>
      <c r="Y5" s="3">
        <v>3719</v>
      </c>
      <c r="Z5" s="3">
        <v>3741</v>
      </c>
      <c r="AA5" s="3">
        <v>3764</v>
      </c>
      <c r="AB5" s="3">
        <v>3971</v>
      </c>
      <c r="AC5" s="3">
        <v>3977</v>
      </c>
      <c r="AD5" s="3">
        <v>3964</v>
      </c>
      <c r="AE5" s="3">
        <v>3966</v>
      </c>
      <c r="AF5" s="3">
        <v>3966</v>
      </c>
    </row>
    <row r="6" spans="1:32" x14ac:dyDescent="0.3">
      <c r="A6" s="101" t="s">
        <v>7</v>
      </c>
      <c r="B6" s="13">
        <v>4</v>
      </c>
      <c r="C6" s="6" t="s">
        <v>104</v>
      </c>
      <c r="D6" s="7"/>
      <c r="E6" s="7">
        <f>(603476007*5)/1000000</f>
        <v>3017.3800350000001</v>
      </c>
      <c r="F6" s="7">
        <f>(615863223*5)/1000000</f>
        <v>3079.3161150000001</v>
      </c>
      <c r="G6" s="7">
        <f>4125740161/1000000</f>
        <v>4125.7401609999997</v>
      </c>
      <c r="H6" s="7">
        <f>5948210089/1000000</f>
        <v>5948.2100890000002</v>
      </c>
      <c r="I6" s="7">
        <v>5988.14</v>
      </c>
      <c r="J6" s="7">
        <v>6456.3609999999999</v>
      </c>
      <c r="K6" s="7">
        <v>6699.2939999999999</v>
      </c>
      <c r="L6" s="7">
        <v>9248.7049999999999</v>
      </c>
      <c r="M6" s="7">
        <v>10349.825999999999</v>
      </c>
      <c r="N6" s="7">
        <v>11010.778</v>
      </c>
      <c r="O6" s="7">
        <v>13894.063</v>
      </c>
      <c r="P6" s="7">
        <f>12198009/1000</f>
        <v>12198.009</v>
      </c>
      <c r="Q6" s="7">
        <f>14170742/1000</f>
        <v>14170.742</v>
      </c>
      <c r="R6" s="7">
        <f>15120851/1000</f>
        <v>15120.851000000001</v>
      </c>
      <c r="S6" s="7">
        <f>16339854/1000</f>
        <v>16339.853999999999</v>
      </c>
      <c r="T6" s="7">
        <v>16280.161</v>
      </c>
      <c r="U6" s="7">
        <v>16293.883</v>
      </c>
      <c r="V6" s="7">
        <v>15516.799000000001</v>
      </c>
      <c r="W6" s="7">
        <v>14595.164000000001</v>
      </c>
      <c r="X6" s="7">
        <v>15745.986999999999</v>
      </c>
      <c r="Y6" s="7">
        <v>15278</v>
      </c>
      <c r="Z6" s="7">
        <v>14333</v>
      </c>
      <c r="AA6" s="7">
        <v>12448</v>
      </c>
      <c r="AB6" s="67">
        <v>13602</v>
      </c>
      <c r="AC6" s="67">
        <v>14531</v>
      </c>
      <c r="AD6" s="66">
        <v>15119</v>
      </c>
      <c r="AE6" s="66">
        <v>15769</v>
      </c>
      <c r="AF6" s="66">
        <v>16678</v>
      </c>
    </row>
    <row r="7" spans="1:32" x14ac:dyDescent="0.3">
      <c r="A7" s="101"/>
      <c r="B7" s="13">
        <v>5</v>
      </c>
      <c r="C7" s="1" t="s">
        <v>9</v>
      </c>
      <c r="D7" s="3"/>
      <c r="E7" s="3">
        <f>E8+(122510047*5)/1000000</f>
        <v>1675.9811500000001</v>
      </c>
      <c r="F7" s="3">
        <f>F8+(123465624*5)/1000000</f>
        <v>1525.8364999999999</v>
      </c>
      <c r="G7" s="3">
        <f>G8+(613800896/1000000)</f>
        <v>1338.165841</v>
      </c>
      <c r="H7" s="3">
        <f>H8+(664691413/1000000)</f>
        <v>1338.2238620000001</v>
      </c>
      <c r="I7" s="3">
        <v>1488.89</v>
      </c>
      <c r="J7" s="3">
        <v>1827.04</v>
      </c>
      <c r="K7" s="3">
        <f>K8+206.104</f>
        <v>1264.55</v>
      </c>
      <c r="L7" s="3">
        <f>L8+200.724</f>
        <v>2254.0170000000003</v>
      </c>
      <c r="M7" s="3">
        <f>M8+1058.866</f>
        <v>2311.902</v>
      </c>
      <c r="N7" s="3">
        <f>N8+1709.571</f>
        <v>3000.7049999999999</v>
      </c>
      <c r="O7" s="3">
        <v>3154.9360000000001</v>
      </c>
      <c r="P7" s="40">
        <v>3363</v>
      </c>
      <c r="Q7" s="44">
        <v>3613</v>
      </c>
      <c r="R7" s="45">
        <v>3757</v>
      </c>
      <c r="S7" s="45">
        <v>3648.0740000000001</v>
      </c>
      <c r="T7" s="45">
        <v>3598</v>
      </c>
      <c r="U7" s="3">
        <v>3642</v>
      </c>
      <c r="V7" s="3">
        <v>3924</v>
      </c>
      <c r="W7" s="3">
        <v>3759</v>
      </c>
      <c r="X7" s="3">
        <v>3994</v>
      </c>
      <c r="Y7" s="3">
        <v>3317</v>
      </c>
      <c r="Z7" s="3">
        <v>3706</v>
      </c>
      <c r="AA7" s="3">
        <v>3657</v>
      </c>
      <c r="AB7" s="3">
        <v>3679</v>
      </c>
      <c r="AC7" s="3">
        <v>3935</v>
      </c>
      <c r="AD7" s="3">
        <v>4172</v>
      </c>
      <c r="AE7" s="3">
        <v>4397</v>
      </c>
      <c r="AF7" s="3">
        <v>4644</v>
      </c>
    </row>
    <row r="8" spans="1:32" x14ac:dyDescent="0.3">
      <c r="A8" s="101"/>
      <c r="B8" s="13">
        <v>6</v>
      </c>
      <c r="C8" s="6" t="s">
        <v>10</v>
      </c>
      <c r="D8" s="7"/>
      <c r="E8" s="7">
        <f>(212686183*5)/1000000</f>
        <v>1063.4309149999999</v>
      </c>
      <c r="F8" s="7">
        <f>(181701676*5)/1000000</f>
        <v>908.50837999999999</v>
      </c>
      <c r="G8" s="7">
        <f>(724364945)/1000000</f>
        <v>724.36494500000003</v>
      </c>
      <c r="H8" s="7">
        <f>(673532449)/1000000</f>
        <v>673.53244900000004</v>
      </c>
      <c r="I8" s="7">
        <v>648.70399999999995</v>
      </c>
      <c r="J8" s="7">
        <v>905.74199999999996</v>
      </c>
      <c r="K8" s="7">
        <v>1058.4459999999999</v>
      </c>
      <c r="L8" s="7">
        <v>2053.2930000000001</v>
      </c>
      <c r="M8" s="7">
        <v>1253.0360000000001</v>
      </c>
      <c r="N8" s="7">
        <v>1291.134</v>
      </c>
      <c r="O8" s="7">
        <v>1929.9939999999999</v>
      </c>
      <c r="P8" s="7">
        <v>1970</v>
      </c>
      <c r="Q8" s="46">
        <v>2064</v>
      </c>
      <c r="R8" s="46">
        <v>2268</v>
      </c>
      <c r="S8" s="46">
        <v>2214.8290000000002</v>
      </c>
      <c r="T8" s="46">
        <v>2118</v>
      </c>
      <c r="U8" s="7">
        <v>2193</v>
      </c>
      <c r="V8" s="7">
        <v>2443</v>
      </c>
      <c r="W8" s="7">
        <v>2264</v>
      </c>
      <c r="X8" s="7">
        <v>2318</v>
      </c>
      <c r="Y8" s="7">
        <v>1584</v>
      </c>
      <c r="Z8" s="7">
        <v>1838</v>
      </c>
      <c r="AA8" s="7">
        <v>2206</v>
      </c>
      <c r="AB8" s="7">
        <v>2174</v>
      </c>
      <c r="AC8" s="7">
        <v>2337</v>
      </c>
      <c r="AD8" s="3">
        <v>2523</v>
      </c>
      <c r="AE8" s="3">
        <v>2677</v>
      </c>
      <c r="AF8" s="3">
        <v>2801</v>
      </c>
    </row>
    <row r="9" spans="1:32" x14ac:dyDescent="0.3">
      <c r="A9" s="101"/>
      <c r="B9" s="13">
        <v>11</v>
      </c>
      <c r="C9" s="1" t="s">
        <v>11</v>
      </c>
      <c r="D9" s="3"/>
      <c r="E9" s="3">
        <f>-(40929060*5)/1000000</f>
        <v>-204.64529999999999</v>
      </c>
      <c r="F9" s="3">
        <f>(-28159977*5)/1000000</f>
        <v>-140.79988499999999</v>
      </c>
      <c r="G9" s="3">
        <f>-(174626269)/1000000</f>
        <v>-174.62626900000001</v>
      </c>
      <c r="H9" s="3">
        <f>-(205333290)/1000000</f>
        <v>-205.33329000000001</v>
      </c>
      <c r="I9" s="3">
        <f>I10-I8</f>
        <v>-361.78299999999996</v>
      </c>
      <c r="J9" s="3">
        <f>J10-J8</f>
        <v>-373.46299999999997</v>
      </c>
      <c r="K9" s="3">
        <f t="shared" ref="K9:L9" si="0">K10-K8</f>
        <v>-499.98399999999992</v>
      </c>
      <c r="L9" s="3">
        <f t="shared" si="0"/>
        <v>-834.66500000000019</v>
      </c>
      <c r="M9" s="3">
        <f>M8-M10</f>
        <v>-42.769999999999982</v>
      </c>
      <c r="N9" s="3">
        <f>N8-N10</f>
        <v>-63.417999999999893</v>
      </c>
      <c r="O9" s="3">
        <f t="shared" ref="O9" si="1">O10-O8</f>
        <v>-426.2829999999999</v>
      </c>
      <c r="P9" s="40">
        <v>-487</v>
      </c>
      <c r="Q9" s="44">
        <v>-485</v>
      </c>
      <c r="R9" s="45">
        <v>-715</v>
      </c>
      <c r="S9" s="45">
        <f t="shared" ref="S9" si="2">S10-S8</f>
        <v>-750.13700000000017</v>
      </c>
      <c r="T9" s="45">
        <f t="shared" ref="T9" si="3">T10-T8</f>
        <v>-712.06700000000001</v>
      </c>
      <c r="U9" s="3">
        <f t="shared" ref="U9" si="4">U10-U8</f>
        <v>-556.74299999999994</v>
      </c>
      <c r="V9" s="3">
        <f t="shared" ref="V9" si="5">V10-V8</f>
        <v>-856.03500000000008</v>
      </c>
      <c r="W9" s="3">
        <v>-891</v>
      </c>
      <c r="X9" s="3">
        <v>-808.45</v>
      </c>
      <c r="Y9" s="3">
        <v>-1010</v>
      </c>
      <c r="Z9" s="3">
        <v>-635.09</v>
      </c>
      <c r="AA9" s="3">
        <v>-509.7</v>
      </c>
      <c r="AB9" s="3">
        <v>-528.63</v>
      </c>
      <c r="AC9" s="3">
        <v>-542.22</v>
      </c>
      <c r="AD9" s="3">
        <v>-558.33000000000004</v>
      </c>
      <c r="AE9" s="3">
        <v>-570.16999999999996</v>
      </c>
      <c r="AF9" s="3">
        <v>-593.33000000000004</v>
      </c>
    </row>
    <row r="10" spans="1:32" x14ac:dyDescent="0.3">
      <c r="A10" s="101"/>
      <c r="B10" s="13">
        <v>12</v>
      </c>
      <c r="C10" s="6" t="s">
        <v>12</v>
      </c>
      <c r="D10" s="7"/>
      <c r="E10" s="7">
        <f>(183284833*5)/1000000</f>
        <v>916.42416500000002</v>
      </c>
      <c r="F10" s="7">
        <f>(184698383*5)/1000000</f>
        <v>923.49191499999995</v>
      </c>
      <c r="G10" s="7">
        <f>(838329194)/1000000</f>
        <v>838.32919400000003</v>
      </c>
      <c r="H10" s="7">
        <f>(594186578)/1000000</f>
        <v>594.18657800000005</v>
      </c>
      <c r="I10" s="7">
        <v>286.92099999999999</v>
      </c>
      <c r="J10" s="7">
        <v>532.279</v>
      </c>
      <c r="K10" s="7">
        <v>558.46199999999999</v>
      </c>
      <c r="L10" s="7">
        <v>1218.6279999999999</v>
      </c>
      <c r="M10" s="7">
        <v>1295.806</v>
      </c>
      <c r="N10" s="7">
        <v>1354.5519999999999</v>
      </c>
      <c r="O10" s="7">
        <v>1503.711</v>
      </c>
      <c r="P10" s="7">
        <v>1567.712</v>
      </c>
      <c r="Q10" s="7">
        <v>1661.8330000000001</v>
      </c>
      <c r="R10" s="7">
        <v>1592.357</v>
      </c>
      <c r="S10" s="7">
        <v>1464.692</v>
      </c>
      <c r="T10" s="7">
        <v>1405.933</v>
      </c>
      <c r="U10" s="7">
        <v>1636.2570000000001</v>
      </c>
      <c r="V10" s="7">
        <v>1586.9649999999999</v>
      </c>
      <c r="W10" s="7">
        <v>1350.537</v>
      </c>
      <c r="X10" s="7">
        <v>1520.9849999999999</v>
      </c>
      <c r="Y10" s="7">
        <v>1041</v>
      </c>
      <c r="Z10" s="7">
        <v>1169</v>
      </c>
      <c r="AA10" s="7">
        <v>1535</v>
      </c>
      <c r="AB10" s="7">
        <v>1645</v>
      </c>
      <c r="AC10" s="7">
        <v>1811</v>
      </c>
      <c r="AD10" s="3">
        <v>1950</v>
      </c>
      <c r="AE10" s="3">
        <v>2065</v>
      </c>
      <c r="AF10" s="3">
        <v>2138</v>
      </c>
    </row>
    <row r="11" spans="1:32" x14ac:dyDescent="0.3">
      <c r="A11" s="101"/>
      <c r="B11" s="13">
        <v>13</v>
      </c>
      <c r="C11" s="1" t="s">
        <v>13</v>
      </c>
      <c r="D11" s="3"/>
      <c r="E11" s="3">
        <f>(79151538*5)/1000000</f>
        <v>395.75769000000003</v>
      </c>
      <c r="F11" s="3">
        <f>(71018576*5)/1000000</f>
        <v>355.09287999999998</v>
      </c>
      <c r="G11" s="3">
        <f>(310743132)/1000000</f>
        <v>310.743132</v>
      </c>
      <c r="H11" s="3">
        <f>(244011679)/1000000</f>
        <v>244.01167899999999</v>
      </c>
      <c r="I11" s="3">
        <v>171.16800000000001</v>
      </c>
      <c r="J11" s="3">
        <v>239.255</v>
      </c>
      <c r="K11" s="3">
        <v>159.61699999999999</v>
      </c>
      <c r="L11" s="3">
        <v>152.18899999999999</v>
      </c>
      <c r="M11" s="3">
        <v>265.91500000000002</v>
      </c>
      <c r="N11" s="3">
        <v>266.45699999999999</v>
      </c>
      <c r="O11" s="3">
        <v>283.59100000000001</v>
      </c>
      <c r="P11" s="3">
        <v>399.76499999999999</v>
      </c>
      <c r="Q11" s="3">
        <v>427.23200000000003</v>
      </c>
      <c r="R11" s="3">
        <v>260.37799999999999</v>
      </c>
      <c r="S11" s="3">
        <v>282.53699999999998</v>
      </c>
      <c r="T11" s="3">
        <v>212.28899999999999</v>
      </c>
      <c r="U11" s="3">
        <v>310.952</v>
      </c>
      <c r="V11" s="3">
        <v>277.76900000000001</v>
      </c>
      <c r="W11" s="3">
        <v>88.796000000000006</v>
      </c>
      <c r="X11" s="3">
        <v>10.304</v>
      </c>
      <c r="Y11" s="3">
        <v>99.67</v>
      </c>
      <c r="Z11" s="3">
        <v>225.9</v>
      </c>
      <c r="AA11" s="3">
        <v>309</v>
      </c>
      <c r="AB11" s="3">
        <v>370.43</v>
      </c>
      <c r="AC11" s="3">
        <v>412.03</v>
      </c>
      <c r="AD11" s="3">
        <v>438.85</v>
      </c>
      <c r="AE11" s="3">
        <v>460.67</v>
      </c>
      <c r="AF11" s="3">
        <v>479.33</v>
      </c>
    </row>
    <row r="12" spans="1:32" x14ac:dyDescent="0.3">
      <c r="A12" s="101"/>
      <c r="B12" s="13">
        <v>14</v>
      </c>
      <c r="C12" s="6" t="s">
        <v>105</v>
      </c>
      <c r="D12" s="7"/>
      <c r="E12" s="7">
        <f>(104808917*5)/1000000</f>
        <v>524.04458499999998</v>
      </c>
      <c r="F12" s="7">
        <f>(103034926*5)/1000000</f>
        <v>515.17462999999998</v>
      </c>
      <c r="G12" s="7">
        <f>(548973774)/1000000</f>
        <v>548.97377400000005</v>
      </c>
      <c r="H12" s="7">
        <f>(450794715)/1000000</f>
        <v>450.794715</v>
      </c>
      <c r="I12" s="7">
        <f>335.216</f>
        <v>335.21600000000001</v>
      </c>
      <c r="J12" s="7">
        <v>381.10899999999998</v>
      </c>
      <c r="K12" s="7">
        <v>440.15199999999999</v>
      </c>
      <c r="L12" s="7">
        <v>1111.961</v>
      </c>
      <c r="M12" s="7">
        <v>1017.083</v>
      </c>
      <c r="N12" s="7">
        <v>1088.095</v>
      </c>
      <c r="O12" s="7">
        <v>1211.672</v>
      </c>
      <c r="P12" s="7">
        <v>1167.9469999999999</v>
      </c>
      <c r="Q12" s="7">
        <v>1234.6010000000001</v>
      </c>
      <c r="R12" s="7">
        <v>1331.979</v>
      </c>
      <c r="S12" s="7">
        <f>1182155/1000</f>
        <v>1182.155</v>
      </c>
      <c r="T12" s="7">
        <v>1193.5229999999999</v>
      </c>
      <c r="U12" s="7">
        <v>1263.81</v>
      </c>
      <c r="V12" s="7">
        <v>1247.1420000000001</v>
      </c>
      <c r="W12" s="7">
        <v>961</v>
      </c>
      <c r="X12" s="7">
        <v>1113</v>
      </c>
      <c r="Y12" s="7">
        <v>519.19000000000005</v>
      </c>
      <c r="Z12" s="7">
        <v>512</v>
      </c>
      <c r="AA12" s="7">
        <v>801</v>
      </c>
      <c r="AB12" s="7">
        <v>816.22</v>
      </c>
      <c r="AC12" s="7">
        <v>934.11</v>
      </c>
      <c r="AD12" s="3">
        <v>1022</v>
      </c>
      <c r="AE12" s="3">
        <v>1138</v>
      </c>
      <c r="AF12" s="3">
        <v>1173</v>
      </c>
    </row>
    <row r="13" spans="1:32" x14ac:dyDescent="0.3">
      <c r="A13" s="101"/>
      <c r="B13" s="13">
        <v>2</v>
      </c>
      <c r="C13" s="1" t="s">
        <v>15</v>
      </c>
      <c r="D13" s="41">
        <v>0.12959999999999999</v>
      </c>
      <c r="E13" s="41">
        <v>0.1396</v>
      </c>
      <c r="F13" s="41">
        <v>0.1396</v>
      </c>
      <c r="G13" s="41">
        <v>2.8000000000000001E-2</v>
      </c>
      <c r="H13" s="41">
        <v>0.113</v>
      </c>
      <c r="I13" s="41">
        <v>0.09</v>
      </c>
      <c r="J13" s="41">
        <v>0.09</v>
      </c>
      <c r="K13" s="41">
        <v>9.2429999999999998E-2</v>
      </c>
      <c r="L13" s="41">
        <v>0.1</v>
      </c>
      <c r="M13" s="41">
        <v>0.11</v>
      </c>
      <c r="N13" s="41">
        <v>0.125</v>
      </c>
      <c r="O13" s="41">
        <v>0.14000000000000001</v>
      </c>
      <c r="P13" s="41">
        <v>0.155</v>
      </c>
      <c r="Q13" s="41">
        <v>0.17</v>
      </c>
      <c r="R13" s="41">
        <v>0.185</v>
      </c>
      <c r="S13" s="41">
        <v>0.185</v>
      </c>
      <c r="T13" s="41">
        <f>670.932/T5</f>
        <v>0.18498263027295286</v>
      </c>
      <c r="U13" s="41">
        <f>671.879/U5</f>
        <v>0.18498871145374449</v>
      </c>
      <c r="V13" s="41">
        <v>0.185</v>
      </c>
      <c r="W13" s="41">
        <v>0.19</v>
      </c>
      <c r="X13" s="41">
        <v>0.19</v>
      </c>
      <c r="Y13" s="41">
        <v>0.19</v>
      </c>
      <c r="Z13" s="41">
        <v>0.19</v>
      </c>
      <c r="AA13" s="41">
        <v>0.19</v>
      </c>
      <c r="AB13" s="41">
        <v>0.19</v>
      </c>
      <c r="AC13" s="41">
        <v>0.2</v>
      </c>
      <c r="AD13" s="1">
        <v>0.2</v>
      </c>
      <c r="AE13" s="1">
        <v>0.22</v>
      </c>
      <c r="AF13" s="1">
        <v>0.23</v>
      </c>
    </row>
    <row r="14" spans="1:32" x14ac:dyDescent="0.3">
      <c r="A14" s="102" t="s">
        <v>14</v>
      </c>
      <c r="B14" s="14">
        <v>8</v>
      </c>
      <c r="C14" s="6" t="s">
        <v>16</v>
      </c>
      <c r="D14" s="7"/>
      <c r="E14" s="7"/>
      <c r="F14" s="7">
        <f>(-13302426*5)/1000000</f>
        <v>-66.512129999999999</v>
      </c>
      <c r="G14" s="7">
        <f>(-9216883)/1000000</f>
        <v>-9.2168829999999993</v>
      </c>
      <c r="H14" s="7">
        <f>(-468527165)/1000000</f>
        <v>-468.52716500000002</v>
      </c>
      <c r="I14" s="7">
        <v>-407.25900000000001</v>
      </c>
      <c r="J14" s="7">
        <v>-308.41000000000003</v>
      </c>
      <c r="K14" s="7">
        <f>-303.028</f>
        <v>-303.02800000000002</v>
      </c>
      <c r="L14" s="7">
        <v>267.358</v>
      </c>
      <c r="M14" s="7">
        <v>752.23099999999999</v>
      </c>
      <c r="N14" s="7">
        <v>864.71100000000001</v>
      </c>
      <c r="O14" s="7">
        <v>681.52</v>
      </c>
      <c r="P14" s="7">
        <v>2189.56</v>
      </c>
      <c r="Q14" s="7">
        <v>1588.163</v>
      </c>
      <c r="R14" s="7">
        <v>1731.5239999999999</v>
      </c>
      <c r="S14" s="7">
        <v>1695.336</v>
      </c>
      <c r="T14" s="7">
        <v>2156.7069999999999</v>
      </c>
      <c r="U14" s="7">
        <v>2613.9949999999999</v>
      </c>
      <c r="V14" s="7">
        <v>1217</v>
      </c>
      <c r="W14" s="7">
        <v>1410</v>
      </c>
      <c r="X14" s="7">
        <v>2336</v>
      </c>
      <c r="Y14" s="7">
        <v>1167</v>
      </c>
      <c r="Z14" s="7">
        <v>944</v>
      </c>
      <c r="AA14" s="7">
        <v>2920</v>
      </c>
      <c r="AB14" s="7">
        <v>2520</v>
      </c>
      <c r="AC14" s="7"/>
      <c r="AD14" s="1"/>
      <c r="AE14" s="1"/>
      <c r="AF14" s="1"/>
    </row>
    <row r="15" spans="1:32" x14ac:dyDescent="0.3">
      <c r="A15" s="103"/>
      <c r="B15" s="14">
        <v>7</v>
      </c>
      <c r="C15" s="1" t="s">
        <v>17</v>
      </c>
      <c r="D15" s="3"/>
      <c r="E15" s="3">
        <f>((215050000+331437978+1540520+4950000+142811786)*5)/1000000</f>
        <v>3478.9514199999999</v>
      </c>
      <c r="F15" s="3">
        <f>((403485000+340504326+2568160+8843050+111117052)*5)/1000000</f>
        <v>4332.5879400000003</v>
      </c>
      <c r="G15" s="3">
        <f>(1027809000+1380523984+134159717)/1000000</f>
        <v>2542.4927010000001</v>
      </c>
      <c r="H15" s="3">
        <f>(2361554529+1177291432+23385253)/1000000</f>
        <v>3562.2312139999999</v>
      </c>
      <c r="I15" s="3">
        <f>6107.042+1887.033</f>
        <v>7994.0750000000007</v>
      </c>
      <c r="J15" s="3">
        <f>5913.579+1579.13</f>
        <v>7492.7089999999998</v>
      </c>
      <c r="K15" s="3">
        <f>(7181.105+1960.78)</f>
        <v>9141.8850000000002</v>
      </c>
      <c r="L15" s="3">
        <f>8600.721+1983.579</f>
        <v>10584.3</v>
      </c>
      <c r="M15" s="3">
        <f>8624.695+1528.355</f>
        <v>10153.049999999999</v>
      </c>
      <c r="N15" s="3">
        <f>10064.346+2541.646</f>
        <v>12605.992</v>
      </c>
      <c r="O15" s="3">
        <f>10874.311+3812.014</f>
        <v>14686.325000000001</v>
      </c>
      <c r="P15" s="3">
        <f>13486.499+2794.481</f>
        <v>16280.98</v>
      </c>
      <c r="Q15" s="3">
        <f>14887.195+3004.451</f>
        <v>17891.646000000001</v>
      </c>
      <c r="R15" s="3">
        <f>15786.411+2998.698</f>
        <v>18785.109</v>
      </c>
      <c r="S15" s="3">
        <f>16715.725+3807.503</f>
        <v>20523.227999999999</v>
      </c>
      <c r="T15" s="3">
        <f>15968.756+4192.168</f>
        <v>20160.923999999999</v>
      </c>
      <c r="U15" s="3">
        <f>16400.827+3897.356</f>
        <v>20298.183000000001</v>
      </c>
      <c r="V15" s="3">
        <v>19094</v>
      </c>
      <c r="W15" s="3">
        <v>18379</v>
      </c>
      <c r="X15" s="3">
        <v>17374</v>
      </c>
      <c r="Y15" s="3">
        <v>16493</v>
      </c>
      <c r="Z15" s="3">
        <v>17392</v>
      </c>
      <c r="AA15" s="3">
        <v>17519</v>
      </c>
      <c r="AB15" s="3">
        <v>17990</v>
      </c>
      <c r="AC15" s="3"/>
      <c r="AD15" s="1"/>
      <c r="AE15" s="1"/>
      <c r="AF15" s="1"/>
    </row>
    <row r="16" spans="1:32" x14ac:dyDescent="0.3">
      <c r="A16" s="103"/>
      <c r="B16" s="14">
        <v>9</v>
      </c>
      <c r="C16" s="6" t="s">
        <v>92</v>
      </c>
      <c r="D16" s="7"/>
      <c r="E16" s="7">
        <f>(294803*5)/1000000</f>
        <v>1.4740150000000001</v>
      </c>
      <c r="F16" s="7">
        <f>(397058*5)/1000000</f>
        <v>1.98529</v>
      </c>
      <c r="G16" s="7">
        <f>37343931/1000000</f>
        <v>37.343930999999998</v>
      </c>
      <c r="H16" s="7">
        <f>246716931/1000000</f>
        <v>246.71693099999999</v>
      </c>
      <c r="I16" s="7">
        <v>1</v>
      </c>
      <c r="J16" s="7">
        <v>236.48500000000001</v>
      </c>
      <c r="K16" s="7">
        <v>743.93700000000001</v>
      </c>
      <c r="L16" s="7">
        <v>1287.7629999999999</v>
      </c>
      <c r="M16" s="7">
        <v>945.66099999999994</v>
      </c>
      <c r="N16" s="7">
        <v>986.62599999999998</v>
      </c>
      <c r="O16" s="7">
        <v>2200.605</v>
      </c>
      <c r="P16" s="7">
        <v>2687.5369999999998</v>
      </c>
      <c r="Q16" s="7">
        <v>2930.4009999999998</v>
      </c>
      <c r="R16" s="7">
        <v>3227.2449999999999</v>
      </c>
      <c r="S16" s="7">
        <v>3239.3139999999999</v>
      </c>
      <c r="T16" s="7">
        <v>3082.8049999999998</v>
      </c>
      <c r="U16" s="7">
        <v>3287.6790000000001</v>
      </c>
      <c r="V16" s="7">
        <v>3451.7179999999998</v>
      </c>
      <c r="W16" s="7">
        <v>4330.085</v>
      </c>
      <c r="X16" s="7">
        <v>3934</v>
      </c>
      <c r="Y16" s="7">
        <v>3932</v>
      </c>
      <c r="Z16" s="7">
        <v>3774</v>
      </c>
      <c r="AA16" s="7">
        <v>3496</v>
      </c>
      <c r="AB16" s="7">
        <v>4533</v>
      </c>
      <c r="AC16" s="7"/>
      <c r="AD16" s="1"/>
      <c r="AE16" s="1"/>
      <c r="AF16" s="1"/>
    </row>
    <row r="17" spans="1:32" x14ac:dyDescent="0.3">
      <c r="A17" s="103"/>
      <c r="B17" s="14">
        <v>10</v>
      </c>
      <c r="C17" s="1" t="s">
        <v>18</v>
      </c>
      <c r="D17" s="3"/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1"/>
      <c r="AE17" s="1"/>
      <c r="AF17" s="1"/>
    </row>
    <row r="18" spans="1:32" x14ac:dyDescent="0.3">
      <c r="A18" s="103"/>
      <c r="B18" s="14">
        <v>15</v>
      </c>
      <c r="C18" s="6" t="s">
        <v>19</v>
      </c>
      <c r="D18" s="7"/>
      <c r="E18" s="7">
        <f>(1268444972*5)/1000000</f>
        <v>6342.2248600000003</v>
      </c>
      <c r="F18" s="7">
        <f>(1533237028*5)/1000000</f>
        <v>7666.1851399999996</v>
      </c>
      <c r="G18" s="7">
        <f>(8644957019)/1000000</f>
        <v>8644.9570189999995</v>
      </c>
      <c r="H18" s="7">
        <f>9695546131/1000000</f>
        <v>9695.5461309999991</v>
      </c>
      <c r="I18" s="7">
        <v>12241.698</v>
      </c>
      <c r="J18" s="7">
        <v>12728.671</v>
      </c>
      <c r="K18" s="7">
        <v>16119.181</v>
      </c>
      <c r="L18" s="7">
        <v>17921.812000000002</v>
      </c>
      <c r="M18" s="7">
        <v>18934.014999999999</v>
      </c>
      <c r="N18" s="7">
        <v>24233.035</v>
      </c>
      <c r="O18" s="7">
        <v>27177.544000000002</v>
      </c>
      <c r="P18" s="7">
        <v>28655.891</v>
      </c>
      <c r="Q18" s="7">
        <v>29703.894</v>
      </c>
      <c r="R18" s="7">
        <v>29893.797999999999</v>
      </c>
      <c r="S18" s="7">
        <v>31196.175999999999</v>
      </c>
      <c r="T18" s="7">
        <v>30537.634999999998</v>
      </c>
      <c r="U18" s="7">
        <v>30903.873</v>
      </c>
      <c r="V18" s="7">
        <v>33867</v>
      </c>
      <c r="W18" s="7">
        <v>34677</v>
      </c>
      <c r="X18" s="7">
        <v>32529</v>
      </c>
      <c r="Y18" s="7">
        <v>32659</v>
      </c>
      <c r="Z18" s="7">
        <v>33503</v>
      </c>
      <c r="AA18" s="7">
        <v>33364</v>
      </c>
      <c r="AB18" s="7">
        <v>38985</v>
      </c>
      <c r="AC18" s="7"/>
      <c r="AD18" s="1"/>
      <c r="AE18" s="1"/>
      <c r="AF18" s="1"/>
    </row>
    <row r="19" spans="1:32" x14ac:dyDescent="0.3">
      <c r="A19" s="103"/>
      <c r="B19" s="14">
        <v>18</v>
      </c>
      <c r="C19" s="1" t="s">
        <v>21</v>
      </c>
      <c r="D19" s="3"/>
      <c r="E19" s="3">
        <f>(222463110*5)/1000000</f>
        <v>1112.31555</v>
      </c>
      <c r="F19" s="3">
        <f>(214220709*5)/1000000</f>
        <v>1071.1035449999999</v>
      </c>
      <c r="G19" s="3">
        <f>2484763190/1000000</f>
        <v>2484.7631900000001</v>
      </c>
      <c r="H19" s="3">
        <f>3300270415/1000000</f>
        <v>3300.270415</v>
      </c>
      <c r="I19" s="3">
        <v>4857.4719999999998</v>
      </c>
      <c r="J19" s="3">
        <v>4836.5200000000004</v>
      </c>
      <c r="K19" s="3">
        <v>5810.0339999999997</v>
      </c>
      <c r="L19" s="3">
        <v>6531.1620000000003</v>
      </c>
      <c r="M19" s="3">
        <v>4967.2290000000003</v>
      </c>
      <c r="N19" s="3">
        <v>6767.5129999999999</v>
      </c>
      <c r="O19" s="3">
        <v>8369.4169999999995</v>
      </c>
      <c r="P19" s="3">
        <v>8908.0329999999994</v>
      </c>
      <c r="Q19" s="3">
        <v>7729.6390000000001</v>
      </c>
      <c r="R19" s="3">
        <v>7398.59</v>
      </c>
      <c r="S19" s="3">
        <v>8151.5860000000002</v>
      </c>
      <c r="T19" s="3">
        <v>8986.2639999999992</v>
      </c>
      <c r="U19" s="3">
        <v>7962.4139999999998</v>
      </c>
      <c r="V19" s="3">
        <v>8095.817</v>
      </c>
      <c r="W19" s="3">
        <v>7565.1360000000004</v>
      </c>
      <c r="X19" s="3">
        <v>6260</v>
      </c>
      <c r="Y19" s="3">
        <v>8166</v>
      </c>
      <c r="Z19" s="3">
        <v>8797</v>
      </c>
      <c r="AA19" s="3">
        <v>7668</v>
      </c>
      <c r="AB19" s="3">
        <v>9794</v>
      </c>
      <c r="AC19" s="3"/>
      <c r="AD19" s="1"/>
      <c r="AE19" s="1"/>
      <c r="AF19" s="1"/>
    </row>
    <row r="20" spans="1:32" x14ac:dyDescent="0.3">
      <c r="A20" s="103"/>
      <c r="B20" s="14">
        <v>17</v>
      </c>
      <c r="C20" s="6" t="s">
        <v>22</v>
      </c>
      <c r="D20" s="7"/>
      <c r="E20" s="7">
        <f>(107456888*5)/1000000</f>
        <v>537.28444000000002</v>
      </c>
      <c r="F20" s="7">
        <f>(124765728*5)/1000000</f>
        <v>623.82863999999995</v>
      </c>
      <c r="G20" s="7">
        <f>(113875219+945385029)/1000000</f>
        <v>1059.260248</v>
      </c>
      <c r="H20" s="7">
        <f>(106036539+1242418679)/1000000</f>
        <v>1348.4552180000001</v>
      </c>
      <c r="I20" s="7">
        <v>2375.2869999999998</v>
      </c>
      <c r="J20" s="7">
        <v>2521.41</v>
      </c>
      <c r="K20" s="7">
        <v>2792.6840000000002</v>
      </c>
      <c r="L20" s="7">
        <v>4325.7759999999998</v>
      </c>
      <c r="M20" s="7">
        <v>4325.2629999999999</v>
      </c>
      <c r="N20" s="7">
        <v>4364.3850000000002</v>
      </c>
      <c r="O20" s="7">
        <v>4927.9669999999996</v>
      </c>
      <c r="P20" s="7">
        <v>6863.7579999999998</v>
      </c>
      <c r="Q20" s="7">
        <v>7281.625</v>
      </c>
      <c r="R20" s="7">
        <v>6969.52</v>
      </c>
      <c r="S20" s="7">
        <v>7392.5709999999999</v>
      </c>
      <c r="T20" s="7">
        <v>7982.28</v>
      </c>
      <c r="U20" s="7">
        <v>7465.6130000000003</v>
      </c>
      <c r="V20" s="7">
        <v>5853.4170000000004</v>
      </c>
      <c r="W20" s="7">
        <v>6475.7269999999999</v>
      </c>
      <c r="X20" s="7">
        <v>7096</v>
      </c>
      <c r="Y20" s="7">
        <v>6440</v>
      </c>
      <c r="Z20" s="7">
        <v>8362</v>
      </c>
      <c r="AA20" s="7">
        <v>8120</v>
      </c>
      <c r="AB20" s="7">
        <v>11355</v>
      </c>
      <c r="AC20" s="7"/>
      <c r="AD20" s="1"/>
      <c r="AE20" s="1"/>
      <c r="AF20" s="1"/>
    </row>
    <row r="21" spans="1:32" x14ac:dyDescent="0.3">
      <c r="A21" s="103"/>
      <c r="B21" s="14">
        <v>19</v>
      </c>
      <c r="C21" s="1" t="s">
        <v>88</v>
      </c>
      <c r="D21" s="3"/>
      <c r="E21" s="3">
        <f>(13468484*5)/1000000</f>
        <v>67.342420000000004</v>
      </c>
      <c r="F21" s="3">
        <f>(21949376*5)/1000000</f>
        <v>109.74688</v>
      </c>
      <c r="G21" s="3">
        <f>(113875219-1048313)/1000000</f>
        <v>112.82690599999999</v>
      </c>
      <c r="H21" s="3">
        <f>(106036539-6089790)/1000000</f>
        <v>99.946748999999997</v>
      </c>
      <c r="I21" s="3">
        <v>150.30500000000001</v>
      </c>
      <c r="J21" s="3">
        <v>159.23599999999999</v>
      </c>
      <c r="K21" s="3">
        <v>156.80600000000001</v>
      </c>
      <c r="L21" s="3">
        <v>219.19399999999999</v>
      </c>
      <c r="M21" s="3">
        <v>228.69200000000001</v>
      </c>
      <c r="N21" s="3">
        <v>282.59500000000003</v>
      </c>
      <c r="O21" s="3">
        <v>276.8</v>
      </c>
      <c r="P21" s="3">
        <v>273.37599999999998</v>
      </c>
      <c r="Q21" s="3">
        <v>356.97800000000001</v>
      </c>
      <c r="R21" s="3">
        <v>346.06</v>
      </c>
      <c r="S21" s="3">
        <v>377.61799999999999</v>
      </c>
      <c r="T21" s="3">
        <v>264.78800000000001</v>
      </c>
      <c r="U21" s="3">
        <v>266.45600000000002</v>
      </c>
      <c r="V21" s="3">
        <v>204.20599999999999</v>
      </c>
      <c r="W21" s="3">
        <v>316.577</v>
      </c>
      <c r="X21" s="3">
        <v>266</v>
      </c>
      <c r="Y21" s="3">
        <v>342</v>
      </c>
      <c r="Z21" s="3">
        <v>368</v>
      </c>
      <c r="AA21" s="3">
        <v>324</v>
      </c>
      <c r="AB21" s="3">
        <v>367</v>
      </c>
      <c r="AC21" s="3"/>
      <c r="AD21" s="1"/>
      <c r="AE21" s="1"/>
      <c r="AF21" s="1"/>
    </row>
    <row r="22" spans="1:32" x14ac:dyDescent="0.3">
      <c r="A22" s="103"/>
      <c r="B22" s="14">
        <v>20</v>
      </c>
      <c r="C22" s="6" t="s">
        <v>87</v>
      </c>
      <c r="D22" s="7"/>
      <c r="E22" s="7">
        <f>(59429314*5)/1000000</f>
        <v>297.14657</v>
      </c>
      <c r="F22" s="7">
        <f>(48676484*5)/1000000</f>
        <v>243.38242</v>
      </c>
      <c r="G22" s="7">
        <f>(499975320+1157)/1000000</f>
        <v>499.97647699999999</v>
      </c>
      <c r="H22" s="7">
        <f>(767426279+1236089)/1000000</f>
        <v>768.66236800000001</v>
      </c>
      <c r="I22" s="7">
        <v>864.63300000000004</v>
      </c>
      <c r="J22" s="7">
        <v>1022.871</v>
      </c>
      <c r="K22" s="7">
        <v>1161.8440000000001</v>
      </c>
      <c r="L22" s="7">
        <v>1463.5050000000001</v>
      </c>
      <c r="M22" s="7">
        <v>1475.202</v>
      </c>
      <c r="N22" s="7">
        <v>1622.4280000000001</v>
      </c>
      <c r="O22" s="7">
        <v>1646.6130000000001</v>
      </c>
      <c r="P22" s="7">
        <v>1893.3130000000001</v>
      </c>
      <c r="Q22" s="7">
        <v>2069.6759999999999</v>
      </c>
      <c r="R22" s="7">
        <f>2043671/1000</f>
        <v>2043.671</v>
      </c>
      <c r="S22" s="7">
        <v>2280.1039999999998</v>
      </c>
      <c r="T22" s="7">
        <v>2181.9029999999998</v>
      </c>
      <c r="U22" s="7">
        <v>1945.1030000000001</v>
      </c>
      <c r="V22" s="7">
        <v>1895.5170000000001</v>
      </c>
      <c r="W22" s="7">
        <v>1174</v>
      </c>
      <c r="X22" s="7">
        <v>1407</v>
      </c>
      <c r="Y22" s="7">
        <v>2413</v>
      </c>
      <c r="Z22" s="7">
        <v>2230</v>
      </c>
      <c r="AA22" s="7">
        <v>2145</v>
      </c>
      <c r="AB22" s="7">
        <v>2592</v>
      </c>
      <c r="AC22" s="7"/>
      <c r="AD22" s="1"/>
      <c r="AE22" s="1"/>
      <c r="AF22" s="1"/>
    </row>
    <row r="23" spans="1:32" x14ac:dyDescent="0.3">
      <c r="A23" s="103"/>
      <c r="B23" s="14">
        <v>16</v>
      </c>
      <c r="C23" s="1" t="s">
        <v>20</v>
      </c>
      <c r="D23" s="3"/>
      <c r="E23" s="3">
        <f>(1228414990*5)/1000000</f>
        <v>6142.0749500000002</v>
      </c>
      <c r="F23" s="3">
        <f>(1214997453*5)/1000000</f>
        <v>6074.9872649999998</v>
      </c>
      <c r="G23" s="3">
        <f>6024729782/1000000</f>
        <v>6024.7297820000003</v>
      </c>
      <c r="H23" s="3">
        <f>6096757724/1000000</f>
        <v>6096.7577240000001</v>
      </c>
      <c r="I23" s="3">
        <v>5494.1819999999998</v>
      </c>
      <c r="J23" s="3">
        <v>5298.0069999999996</v>
      </c>
      <c r="K23" s="3">
        <v>4781.7950000000001</v>
      </c>
      <c r="L23" s="3">
        <v>6111.1629999999996</v>
      </c>
      <c r="M23" s="3">
        <v>6534.8959999999997</v>
      </c>
      <c r="N23" s="3">
        <v>7250.7719999999999</v>
      </c>
      <c r="O23" s="3">
        <v>8546.9089999999997</v>
      </c>
      <c r="P23" s="3">
        <v>9978.6880000000001</v>
      </c>
      <c r="Q23" s="3">
        <v>10784.959000000001</v>
      </c>
      <c r="R23" s="3">
        <v>11386.779</v>
      </c>
      <c r="S23" s="3">
        <v>11431.668</v>
      </c>
      <c r="T23" s="3">
        <v>11527.902</v>
      </c>
      <c r="U23" s="3">
        <v>11969.144</v>
      </c>
      <c r="V23" s="3">
        <v>8670</v>
      </c>
      <c r="W23" s="3">
        <v>9406</v>
      </c>
      <c r="X23" s="3">
        <v>9546</v>
      </c>
      <c r="Y23" s="3">
        <v>8968</v>
      </c>
      <c r="Z23" s="3">
        <v>8858</v>
      </c>
      <c r="AA23" s="3">
        <v>9583</v>
      </c>
      <c r="AB23" s="3">
        <v>9144</v>
      </c>
      <c r="AC23" s="3"/>
      <c r="AD23" s="1"/>
      <c r="AE23" s="1"/>
      <c r="AF23" s="1"/>
    </row>
    <row r="25" spans="1:32" x14ac:dyDescent="0.3">
      <c r="A25" s="9" t="s">
        <v>71</v>
      </c>
      <c r="B25" s="8"/>
      <c r="C25" s="9" t="s">
        <v>26</v>
      </c>
      <c r="D25" s="8">
        <v>97</v>
      </c>
      <c r="E25" s="8">
        <v>98</v>
      </c>
      <c r="F25" s="8">
        <v>99</v>
      </c>
      <c r="G25" s="8">
        <v>2000</v>
      </c>
      <c r="H25" s="8">
        <v>1</v>
      </c>
      <c r="I25" s="8">
        <v>2</v>
      </c>
      <c r="J25" s="8">
        <v>3</v>
      </c>
      <c r="K25" s="8">
        <v>4</v>
      </c>
      <c r="L25" s="8">
        <v>5</v>
      </c>
      <c r="M25" s="8">
        <v>6</v>
      </c>
      <c r="N25" s="8">
        <v>7</v>
      </c>
      <c r="O25" s="8">
        <v>8</v>
      </c>
      <c r="P25" s="8">
        <v>9</v>
      </c>
      <c r="Q25" s="8">
        <v>10</v>
      </c>
      <c r="R25" s="8">
        <v>11</v>
      </c>
      <c r="S25" s="8">
        <v>12</v>
      </c>
      <c r="T25" s="8">
        <v>13</v>
      </c>
      <c r="U25" s="8">
        <v>14</v>
      </c>
      <c r="V25" s="8">
        <v>15</v>
      </c>
      <c r="W25" s="8">
        <v>16</v>
      </c>
      <c r="X25" s="8">
        <v>17</v>
      </c>
      <c r="Y25" s="8">
        <v>18</v>
      </c>
      <c r="Z25" s="8">
        <v>19</v>
      </c>
      <c r="AA25" s="8">
        <v>20</v>
      </c>
      <c r="AB25" s="8" t="s">
        <v>3</v>
      </c>
      <c r="AC25" s="8" t="s">
        <v>94</v>
      </c>
      <c r="AD25" s="8" t="s">
        <v>116</v>
      </c>
      <c r="AE25" s="8" t="s">
        <v>117</v>
      </c>
      <c r="AF25" s="8" t="s">
        <v>118</v>
      </c>
    </row>
    <row r="26" spans="1:32" x14ac:dyDescent="0.3">
      <c r="A26" s="6" t="s">
        <v>65</v>
      </c>
      <c r="B26" s="17" t="s">
        <v>27</v>
      </c>
      <c r="C26" s="6" t="s">
        <v>85</v>
      </c>
      <c r="D26" s="7">
        <f t="shared" ref="D26:F26" si="6">D4*D5</f>
        <v>0</v>
      </c>
      <c r="E26" s="7">
        <f t="shared" si="6"/>
        <v>0</v>
      </c>
      <c r="F26" s="7">
        <f t="shared" si="6"/>
        <v>12054.6</v>
      </c>
      <c r="G26" s="7">
        <f t="shared" ref="G26:W26" si="7">G4*G5</f>
        <v>12235.6</v>
      </c>
      <c r="H26" s="7">
        <f t="shared" si="7"/>
        <v>8470.7999999999993</v>
      </c>
      <c r="I26" s="7">
        <f t="shared" si="7"/>
        <v>5538.6</v>
      </c>
      <c r="J26" s="7">
        <f t="shared" si="7"/>
        <v>7276.1999999999989</v>
      </c>
      <c r="K26" s="7">
        <f t="shared" si="7"/>
        <v>8072.6</v>
      </c>
      <c r="L26" s="7">
        <f t="shared" si="7"/>
        <v>9412</v>
      </c>
      <c r="M26" s="7">
        <f t="shared" si="7"/>
        <v>13900.8</v>
      </c>
      <c r="N26" s="7">
        <f t="shared" si="7"/>
        <v>16181.4</v>
      </c>
      <c r="O26" s="7">
        <f t="shared" si="7"/>
        <v>9774</v>
      </c>
      <c r="P26" s="7">
        <f t="shared" si="7"/>
        <v>11258.199999999999</v>
      </c>
      <c r="Q26" s="7">
        <f t="shared" si="7"/>
        <v>9013.8000000000011</v>
      </c>
      <c r="R26" s="7">
        <f t="shared" si="7"/>
        <v>8661.36</v>
      </c>
      <c r="S26" s="7">
        <f t="shared" si="7"/>
        <v>8298.9600000000009</v>
      </c>
      <c r="T26" s="7">
        <f t="shared" si="7"/>
        <v>9684.09</v>
      </c>
      <c r="U26" s="7">
        <f t="shared" si="7"/>
        <v>11695.04</v>
      </c>
      <c r="V26" s="7">
        <f t="shared" si="7"/>
        <v>12064.88</v>
      </c>
      <c r="W26" s="7">
        <f t="shared" si="7"/>
        <v>10747.91</v>
      </c>
      <c r="X26" s="7">
        <f t="shared" ref="X26:AF26" si="8">X4*X5</f>
        <v>10570.792870000001</v>
      </c>
      <c r="Y26" s="7">
        <f t="shared" si="8"/>
        <v>11082.62</v>
      </c>
      <c r="Z26" s="7">
        <f t="shared" si="8"/>
        <v>14140.98</v>
      </c>
      <c r="AA26" s="7">
        <f t="shared" si="8"/>
        <v>19407.183999999997</v>
      </c>
      <c r="AB26" s="7">
        <f t="shared" si="8"/>
        <v>19187.871999999999</v>
      </c>
      <c r="AC26" s="7">
        <f t="shared" si="8"/>
        <v>16234.114</v>
      </c>
      <c r="AD26" s="7">
        <f t="shared" si="8"/>
        <v>16181.047999999999</v>
      </c>
      <c r="AE26" s="7">
        <f t="shared" si="8"/>
        <v>16189.212</v>
      </c>
      <c r="AF26" s="7">
        <f t="shared" si="8"/>
        <v>16189.212</v>
      </c>
    </row>
    <row r="27" spans="1:32" x14ac:dyDescent="0.3">
      <c r="A27" s="1" t="s">
        <v>66</v>
      </c>
      <c r="B27" s="2" t="s">
        <v>28</v>
      </c>
      <c r="C27" s="1" t="s">
        <v>47</v>
      </c>
      <c r="D27" s="30" t="e">
        <f t="shared" ref="D27:F27" si="9">D26/D6</f>
        <v>#DIV/0!</v>
      </c>
      <c r="E27" s="30">
        <f t="shared" si="9"/>
        <v>0</v>
      </c>
      <c r="F27" s="30">
        <f t="shared" si="9"/>
        <v>3.9147003911938416</v>
      </c>
      <c r="G27" s="30">
        <f t="shared" ref="G27:W27" si="10">G26/G6</f>
        <v>2.965673920927276</v>
      </c>
      <c r="H27" s="30">
        <f t="shared" si="10"/>
        <v>1.4240922686414548</v>
      </c>
      <c r="I27" s="30">
        <f t="shared" si="10"/>
        <v>0.9249282748900326</v>
      </c>
      <c r="J27" s="30">
        <f t="shared" si="10"/>
        <v>1.1269815922622666</v>
      </c>
      <c r="K27" s="30">
        <f t="shared" si="10"/>
        <v>1.2049926454936895</v>
      </c>
      <c r="L27" s="30">
        <f t="shared" si="10"/>
        <v>1.0176559853514626</v>
      </c>
      <c r="M27" s="30">
        <f t="shared" si="10"/>
        <v>1.3430950433369604</v>
      </c>
      <c r="N27" s="30">
        <f t="shared" si="10"/>
        <v>1.4695964263379027</v>
      </c>
      <c r="O27" s="30">
        <f t="shared" si="10"/>
        <v>0.7034659336149548</v>
      </c>
      <c r="P27" s="30">
        <f t="shared" si="10"/>
        <v>0.92295390173920999</v>
      </c>
      <c r="Q27" s="30">
        <f t="shared" si="10"/>
        <v>0.63608525227542789</v>
      </c>
      <c r="R27" s="30">
        <f t="shared" si="10"/>
        <v>0.57280903039121278</v>
      </c>
      <c r="S27" s="30">
        <f t="shared" si="10"/>
        <v>0.50789682698511263</v>
      </c>
      <c r="T27" s="30">
        <f t="shared" si="10"/>
        <v>0.59483994046496225</v>
      </c>
      <c r="U27" s="30">
        <f t="shared" si="10"/>
        <v>0.71775647339556825</v>
      </c>
      <c r="V27" s="30">
        <f t="shared" si="10"/>
        <v>0.77753665559501017</v>
      </c>
      <c r="W27" s="30">
        <f t="shared" si="10"/>
        <v>0.73640213977725766</v>
      </c>
      <c r="X27" s="30">
        <f t="shared" ref="X27:AF27" si="11">X26/X6</f>
        <v>0.67133250332291028</v>
      </c>
      <c r="Y27" s="30">
        <f t="shared" si="11"/>
        <v>0.72539730331195185</v>
      </c>
      <c r="Z27" s="30">
        <f t="shared" si="11"/>
        <v>0.98660294425451756</v>
      </c>
      <c r="AA27" s="30">
        <f t="shared" si="11"/>
        <v>1.5590604113110538</v>
      </c>
      <c r="AB27" s="30">
        <f t="shared" si="11"/>
        <v>1.4106654903690634</v>
      </c>
      <c r="AC27" s="30">
        <f t="shared" si="11"/>
        <v>1.1172055605257725</v>
      </c>
      <c r="AD27" s="30">
        <f t="shared" si="11"/>
        <v>1.0702459157351676</v>
      </c>
      <c r="AE27" s="30">
        <f t="shared" si="11"/>
        <v>1.0266479802143447</v>
      </c>
      <c r="AF27" s="30">
        <f t="shared" si="11"/>
        <v>0.97069264899868091</v>
      </c>
    </row>
    <row r="28" spans="1:32" x14ac:dyDescent="0.3">
      <c r="A28" s="6" t="s">
        <v>67</v>
      </c>
      <c r="B28" s="17" t="s">
        <v>29</v>
      </c>
      <c r="C28" s="6" t="s">
        <v>48</v>
      </c>
      <c r="D28" s="29" t="e">
        <f t="shared" ref="D28:F28" si="12">D26/D7</f>
        <v>#DIV/0!</v>
      </c>
      <c r="E28" s="29">
        <f t="shared" si="12"/>
        <v>0</v>
      </c>
      <c r="F28" s="29">
        <f t="shared" si="12"/>
        <v>7.9003222166988412</v>
      </c>
      <c r="G28" s="29">
        <f t="shared" ref="G28:AF28" si="13">G26/G7</f>
        <v>9.1435602562208889</v>
      </c>
      <c r="H28" s="29">
        <f t="shared" si="13"/>
        <v>6.3298826455987962</v>
      </c>
      <c r="I28" s="29">
        <f t="shared" si="13"/>
        <v>3.7199524477966808</v>
      </c>
      <c r="J28" s="29">
        <f t="shared" si="13"/>
        <v>3.98250722480077</v>
      </c>
      <c r="K28" s="29">
        <f t="shared" si="13"/>
        <v>6.3837728836344949</v>
      </c>
      <c r="L28" s="29">
        <f t="shared" si="13"/>
        <v>4.175656172956991</v>
      </c>
      <c r="M28" s="29">
        <f t="shared" si="13"/>
        <v>6.0127116114783412</v>
      </c>
      <c r="N28" s="29">
        <f t="shared" si="13"/>
        <v>5.3925327548026214</v>
      </c>
      <c r="O28" s="29">
        <f t="shared" si="13"/>
        <v>3.0980026219232339</v>
      </c>
      <c r="P28" s="29">
        <f t="shared" si="13"/>
        <v>3.3476657746060061</v>
      </c>
      <c r="Q28" s="29">
        <f t="shared" si="13"/>
        <v>2.4948242457791312</v>
      </c>
      <c r="R28" s="29">
        <f t="shared" si="13"/>
        <v>2.3053926004791059</v>
      </c>
      <c r="S28" s="29">
        <f t="shared" si="13"/>
        <v>2.2748880642223819</v>
      </c>
      <c r="T28" s="29">
        <f t="shared" si="13"/>
        <v>2.691520289049472</v>
      </c>
      <c r="U28" s="29">
        <f t="shared" si="13"/>
        <v>3.2111587040087866</v>
      </c>
      <c r="V28" s="29">
        <f t="shared" si="13"/>
        <v>3.0746381243628949</v>
      </c>
      <c r="W28" s="29">
        <f t="shared" si="13"/>
        <v>2.8592471401968607</v>
      </c>
      <c r="X28" s="29">
        <f t="shared" si="13"/>
        <v>2.6466682198297451</v>
      </c>
      <c r="Y28" s="29">
        <f t="shared" si="13"/>
        <v>3.3411576725957191</v>
      </c>
      <c r="Z28" s="29">
        <f t="shared" si="13"/>
        <v>3.8156988667026441</v>
      </c>
      <c r="AA28" s="29">
        <f t="shared" si="13"/>
        <v>5.3068591741864912</v>
      </c>
      <c r="AB28" s="29">
        <f t="shared" si="13"/>
        <v>5.215512911117151</v>
      </c>
      <c r="AC28" s="29">
        <f t="shared" si="13"/>
        <v>4.1255689961880559</v>
      </c>
      <c r="AD28" s="29">
        <f t="shared" si="13"/>
        <v>3.8784870565675931</v>
      </c>
      <c r="AE28" s="29">
        <f t="shared" si="13"/>
        <v>3.6818767341369116</v>
      </c>
      <c r="AF28" s="29">
        <f t="shared" si="13"/>
        <v>3.486049095607235</v>
      </c>
    </row>
    <row r="29" spans="1:32" x14ac:dyDescent="0.3">
      <c r="A29" s="15" t="s">
        <v>68</v>
      </c>
      <c r="B29" s="2" t="s">
        <v>30</v>
      </c>
      <c r="C29" s="1" t="s">
        <v>49</v>
      </c>
      <c r="D29" s="3">
        <f t="shared" ref="D29:F29" si="14">D15-D14</f>
        <v>0</v>
      </c>
      <c r="E29" s="3">
        <f t="shared" si="14"/>
        <v>3478.9514199999999</v>
      </c>
      <c r="F29" s="3">
        <f t="shared" si="14"/>
        <v>4399.1000700000004</v>
      </c>
      <c r="G29" s="3">
        <f t="shared" ref="G29:AC29" si="15">G15-G14</f>
        <v>2551.7095840000002</v>
      </c>
      <c r="H29" s="3">
        <f t="shared" si="15"/>
        <v>4030.7583789999999</v>
      </c>
      <c r="I29" s="3">
        <f t="shared" si="15"/>
        <v>8401.3340000000007</v>
      </c>
      <c r="J29" s="3">
        <f t="shared" si="15"/>
        <v>7801.1189999999997</v>
      </c>
      <c r="K29" s="3">
        <f t="shared" si="15"/>
        <v>9444.9130000000005</v>
      </c>
      <c r="L29" s="3">
        <f t="shared" si="15"/>
        <v>10316.941999999999</v>
      </c>
      <c r="M29" s="3">
        <f t="shared" si="15"/>
        <v>9400.8189999999995</v>
      </c>
      <c r="N29" s="3">
        <f t="shared" si="15"/>
        <v>11741.281000000001</v>
      </c>
      <c r="O29" s="3">
        <f t="shared" si="15"/>
        <v>14004.805</v>
      </c>
      <c r="P29" s="3">
        <f t="shared" si="15"/>
        <v>14091.42</v>
      </c>
      <c r="Q29" s="3">
        <f t="shared" si="15"/>
        <v>16303.483</v>
      </c>
      <c r="R29" s="3">
        <f t="shared" si="15"/>
        <v>17053.584999999999</v>
      </c>
      <c r="S29" s="3">
        <f t="shared" si="15"/>
        <v>18827.892</v>
      </c>
      <c r="T29" s="3">
        <f t="shared" si="15"/>
        <v>18004.217000000001</v>
      </c>
      <c r="U29" s="3">
        <f t="shared" si="15"/>
        <v>17684.188000000002</v>
      </c>
      <c r="V29" s="3">
        <f t="shared" si="15"/>
        <v>17877</v>
      </c>
      <c r="W29" s="3">
        <f t="shared" si="15"/>
        <v>16969</v>
      </c>
      <c r="X29" s="3">
        <f t="shared" si="15"/>
        <v>15038</v>
      </c>
      <c r="Y29" s="3">
        <f t="shared" si="15"/>
        <v>15326</v>
      </c>
      <c r="Z29" s="3">
        <f t="shared" si="15"/>
        <v>16448</v>
      </c>
      <c r="AA29" s="3">
        <f t="shared" si="15"/>
        <v>14599</v>
      </c>
      <c r="AB29" s="3">
        <f t="shared" si="15"/>
        <v>15470</v>
      </c>
      <c r="AC29" s="3">
        <f t="shared" si="15"/>
        <v>0</v>
      </c>
      <c r="AD29" s="1"/>
      <c r="AE29" s="1"/>
      <c r="AF29" s="1"/>
    </row>
    <row r="30" spans="1:32" x14ac:dyDescent="0.3">
      <c r="A30" s="6" t="s">
        <v>69</v>
      </c>
      <c r="B30" s="17" t="s">
        <v>31</v>
      </c>
      <c r="C30" s="6" t="s">
        <v>50</v>
      </c>
      <c r="D30" s="7">
        <f t="shared" ref="D30:F30" si="16">D26+D29+D16+D17</f>
        <v>0</v>
      </c>
      <c r="E30" s="7">
        <f t="shared" si="16"/>
        <v>3480.4254349999997</v>
      </c>
      <c r="F30" s="7">
        <f t="shared" si="16"/>
        <v>16455.685359999999</v>
      </c>
      <c r="G30" s="7">
        <f t="shared" ref="G30:AB30" si="17">G26+G29+G16+G17</f>
        <v>14824.653515</v>
      </c>
      <c r="H30" s="7">
        <f t="shared" si="17"/>
        <v>12748.275309999999</v>
      </c>
      <c r="I30" s="7">
        <f t="shared" si="17"/>
        <v>13940.934000000001</v>
      </c>
      <c r="J30" s="7">
        <f t="shared" si="17"/>
        <v>15313.804</v>
      </c>
      <c r="K30" s="7">
        <f t="shared" si="17"/>
        <v>18261.45</v>
      </c>
      <c r="L30" s="7">
        <f t="shared" si="17"/>
        <v>21016.704999999998</v>
      </c>
      <c r="M30" s="7">
        <f t="shared" si="17"/>
        <v>24247.279999999999</v>
      </c>
      <c r="N30" s="7">
        <f t="shared" si="17"/>
        <v>28909.307000000001</v>
      </c>
      <c r="O30" s="7">
        <f t="shared" si="17"/>
        <v>25979.41</v>
      </c>
      <c r="P30" s="7">
        <f t="shared" si="17"/>
        <v>28037.156999999999</v>
      </c>
      <c r="Q30" s="7">
        <f t="shared" si="17"/>
        <v>28247.684000000001</v>
      </c>
      <c r="R30" s="7">
        <f t="shared" si="17"/>
        <v>28942.19</v>
      </c>
      <c r="S30" s="7">
        <f t="shared" si="17"/>
        <v>30366.165999999997</v>
      </c>
      <c r="T30" s="7">
        <f t="shared" si="17"/>
        <v>30771.112000000001</v>
      </c>
      <c r="U30" s="7">
        <f t="shared" si="17"/>
        <v>32666.907000000003</v>
      </c>
      <c r="V30" s="7">
        <f t="shared" si="17"/>
        <v>33393.597999999998</v>
      </c>
      <c r="W30" s="7">
        <f t="shared" si="17"/>
        <v>32046.994999999999</v>
      </c>
      <c r="X30" s="7">
        <f t="shared" si="17"/>
        <v>29542.792870000001</v>
      </c>
      <c r="Y30" s="7">
        <f t="shared" si="17"/>
        <v>30340.620000000003</v>
      </c>
      <c r="Z30" s="7">
        <f t="shared" si="17"/>
        <v>34362.979999999996</v>
      </c>
      <c r="AA30" s="7">
        <f t="shared" si="17"/>
        <v>37502.183999999994</v>
      </c>
      <c r="AB30" s="7">
        <f t="shared" si="17"/>
        <v>39190.872000000003</v>
      </c>
      <c r="AC30" s="7"/>
      <c r="AD30" s="1"/>
      <c r="AE30" s="1"/>
      <c r="AF30" s="1"/>
    </row>
    <row r="31" spans="1:32" x14ac:dyDescent="0.3">
      <c r="A31" s="1" t="s">
        <v>70</v>
      </c>
      <c r="B31" s="2" t="s">
        <v>32</v>
      </c>
      <c r="C31" s="1" t="s">
        <v>51</v>
      </c>
      <c r="D31" s="30" t="e">
        <f t="shared" ref="D31:F31" si="18">D30/D7</f>
        <v>#DIV/0!</v>
      </c>
      <c r="E31" s="30">
        <f t="shared" si="18"/>
        <v>2.0766495106463454</v>
      </c>
      <c r="F31" s="30">
        <f t="shared" si="18"/>
        <v>10.784697678945287</v>
      </c>
      <c r="G31" s="30">
        <f t="shared" ref="G31:AC31" si="19">G30/G7</f>
        <v>11.078338021184027</v>
      </c>
      <c r="H31" s="30">
        <f t="shared" si="19"/>
        <v>9.5262651279790127</v>
      </c>
      <c r="I31" s="30">
        <f t="shared" si="19"/>
        <v>9.363306893054558</v>
      </c>
      <c r="J31" s="30">
        <f t="shared" si="19"/>
        <v>8.3817562833873378</v>
      </c>
      <c r="K31" s="30">
        <f t="shared" si="19"/>
        <v>14.441065991854812</v>
      </c>
      <c r="L31" s="30">
        <f t="shared" si="19"/>
        <v>9.3241111313712342</v>
      </c>
      <c r="M31" s="30">
        <f t="shared" si="19"/>
        <v>10.488022416175079</v>
      </c>
      <c r="N31" s="30">
        <f t="shared" si="19"/>
        <v>9.6341716363321286</v>
      </c>
      <c r="O31" s="30">
        <f t="shared" si="19"/>
        <v>8.2345283707815309</v>
      </c>
      <c r="P31" s="30">
        <f t="shared" si="19"/>
        <v>8.3369482604817122</v>
      </c>
      <c r="Q31" s="30">
        <f t="shared" si="19"/>
        <v>7.8183459728757265</v>
      </c>
      <c r="R31" s="30">
        <f t="shared" si="19"/>
        <v>7.703537396859196</v>
      </c>
      <c r="S31" s="30">
        <f t="shared" si="19"/>
        <v>8.3238898114457101</v>
      </c>
      <c r="T31" s="30">
        <f t="shared" si="19"/>
        <v>8.5522823790995002</v>
      </c>
      <c r="U31" s="30">
        <f t="shared" si="19"/>
        <v>8.9694967051070851</v>
      </c>
      <c r="V31" s="30">
        <f t="shared" si="19"/>
        <v>8.5100912334352703</v>
      </c>
      <c r="W31" s="30">
        <f t="shared" si="19"/>
        <v>8.5254043628624636</v>
      </c>
      <c r="X31" s="30">
        <f t="shared" si="19"/>
        <v>7.3967934076114172</v>
      </c>
      <c r="Y31" s="30">
        <f t="shared" si="19"/>
        <v>9.1470063310220091</v>
      </c>
      <c r="Z31" s="30">
        <f t="shared" si="19"/>
        <v>9.2722558014031282</v>
      </c>
      <c r="AA31" s="30">
        <f t="shared" si="19"/>
        <v>10.254904019688267</v>
      </c>
      <c r="AB31" s="30">
        <f t="shared" si="19"/>
        <v>10.652588203316119</v>
      </c>
      <c r="AC31" s="30">
        <f t="shared" si="19"/>
        <v>0</v>
      </c>
      <c r="AD31" s="1"/>
      <c r="AE31" s="1"/>
      <c r="AF31" s="1"/>
    </row>
    <row r="32" spans="1:32" x14ac:dyDescent="0.3">
      <c r="A32" s="18" t="s">
        <v>72</v>
      </c>
      <c r="B32" s="17" t="s">
        <v>33</v>
      </c>
      <c r="C32" s="6" t="s">
        <v>109</v>
      </c>
      <c r="D32" s="27" t="e">
        <f t="shared" ref="D32:F32" si="20">D7/D6</f>
        <v>#DIV/0!</v>
      </c>
      <c r="E32" s="27">
        <f t="shared" si="20"/>
        <v>0.55544251322654492</v>
      </c>
      <c r="F32" s="27">
        <f t="shared" si="20"/>
        <v>0.49551148469860812</v>
      </c>
      <c r="G32" s="27">
        <f t="shared" ref="G32:Z32" si="21">G7/G6</f>
        <v>0.32434564194068261</v>
      </c>
      <c r="H32" s="27">
        <f t="shared" si="21"/>
        <v>0.22497925291421225</v>
      </c>
      <c r="I32" s="27">
        <f t="shared" si="21"/>
        <v>0.24863981136045585</v>
      </c>
      <c r="J32" s="27">
        <f t="shared" si="21"/>
        <v>0.282982937292385</v>
      </c>
      <c r="K32" s="27">
        <f t="shared" si="21"/>
        <v>0.1887586960655854</v>
      </c>
      <c r="L32" s="27">
        <f t="shared" si="21"/>
        <v>0.24371163314215344</v>
      </c>
      <c r="M32" s="27">
        <f t="shared" si="21"/>
        <v>0.22337592921852023</v>
      </c>
      <c r="N32" s="27">
        <f t="shared" si="21"/>
        <v>0.27252433933369646</v>
      </c>
      <c r="O32" s="27">
        <f t="shared" si="21"/>
        <v>0.22707079995246893</v>
      </c>
      <c r="P32" s="27">
        <f t="shared" si="21"/>
        <v>0.27570073116030658</v>
      </c>
      <c r="Q32" s="27">
        <f t="shared" si="21"/>
        <v>0.25496194906378228</v>
      </c>
      <c r="R32" s="27">
        <f t="shared" si="21"/>
        <v>0.24846485161450238</v>
      </c>
      <c r="S32" s="27">
        <f t="shared" si="21"/>
        <v>0.22326233759493813</v>
      </c>
      <c r="T32" s="27">
        <f t="shared" si="21"/>
        <v>0.22100518539097985</v>
      </c>
      <c r="U32" s="27">
        <f t="shared" si="21"/>
        <v>0.22351946432903685</v>
      </c>
      <c r="V32" s="27">
        <f t="shared" si="21"/>
        <v>0.25288720953335797</v>
      </c>
      <c r="W32" s="27">
        <f t="shared" si="21"/>
        <v>0.25755106280409046</v>
      </c>
      <c r="X32" s="27">
        <f t="shared" si="21"/>
        <v>0.25365193048870166</v>
      </c>
      <c r="Y32" s="27">
        <f t="shared" si="21"/>
        <v>0.21710956931535541</v>
      </c>
      <c r="Z32" s="27">
        <f t="shared" si="21"/>
        <v>0.25856415265471289</v>
      </c>
      <c r="AA32" s="27">
        <f t="shared" ref="AA32:AF32" si="22">AA7/AA6</f>
        <v>0.29378213367609257</v>
      </c>
      <c r="AB32" s="27">
        <f t="shared" si="22"/>
        <v>0.27047493015732982</v>
      </c>
      <c r="AC32" s="27">
        <f t="shared" si="22"/>
        <v>0.27080035785561901</v>
      </c>
      <c r="AD32" s="27">
        <f t="shared" si="22"/>
        <v>0.27594417620212974</v>
      </c>
      <c r="AE32" s="27">
        <f t="shared" si="22"/>
        <v>0.2788382269008815</v>
      </c>
      <c r="AF32" s="27">
        <f t="shared" si="22"/>
        <v>0.27845065355558218</v>
      </c>
    </row>
    <row r="33" spans="1:32" x14ac:dyDescent="0.3">
      <c r="A33" s="16" t="s">
        <v>73</v>
      </c>
      <c r="B33" s="2" t="s">
        <v>34</v>
      </c>
      <c r="C33" s="1" t="s">
        <v>110</v>
      </c>
      <c r="D33" s="28" t="e">
        <f t="shared" ref="D33:F33" si="23">D8/D6</f>
        <v>#DIV/0!</v>
      </c>
      <c r="E33" s="28">
        <f t="shared" si="23"/>
        <v>0.35243519300345599</v>
      </c>
      <c r="F33" s="28">
        <f t="shared" si="23"/>
        <v>0.29503576316002877</v>
      </c>
      <c r="G33" s="28">
        <f t="shared" ref="G33:Z33" si="24">G8/G6</f>
        <v>0.17557211960348659</v>
      </c>
      <c r="H33" s="28">
        <f t="shared" si="24"/>
        <v>0.11323279422251087</v>
      </c>
      <c r="I33" s="28">
        <f t="shared" si="24"/>
        <v>0.10833146853613976</v>
      </c>
      <c r="J33" s="28">
        <f t="shared" si="24"/>
        <v>0.14028676525367773</v>
      </c>
      <c r="K33" s="28">
        <f t="shared" si="24"/>
        <v>0.15799366321286989</v>
      </c>
      <c r="L33" s="28">
        <f t="shared" si="24"/>
        <v>0.22200870284001925</v>
      </c>
      <c r="M33" s="28">
        <f t="shared" si="24"/>
        <v>0.12106831554462849</v>
      </c>
      <c r="N33" s="28">
        <f t="shared" si="24"/>
        <v>0.11726092379666542</v>
      </c>
      <c r="O33" s="28">
        <f t="shared" si="24"/>
        <v>0.13890781983642941</v>
      </c>
      <c r="P33" s="28">
        <f t="shared" si="24"/>
        <v>0.16150176639482722</v>
      </c>
      <c r="Q33" s="28">
        <f t="shared" si="24"/>
        <v>0.14565221778789</v>
      </c>
      <c r="R33" s="28">
        <f t="shared" si="24"/>
        <v>0.14999155801482336</v>
      </c>
      <c r="S33" s="28">
        <f t="shared" si="24"/>
        <v>0.13554766156417311</v>
      </c>
      <c r="T33" s="28">
        <f t="shared" si="24"/>
        <v>0.13009699351253345</v>
      </c>
      <c r="U33" s="28">
        <f t="shared" si="24"/>
        <v>0.13459038585216304</v>
      </c>
      <c r="V33" s="28">
        <f t="shared" si="24"/>
        <v>0.15744226628185362</v>
      </c>
      <c r="W33" s="28">
        <f t="shared" si="24"/>
        <v>0.15511987395276955</v>
      </c>
      <c r="X33" s="28">
        <f t="shared" si="24"/>
        <v>0.14721211188603167</v>
      </c>
      <c r="Y33" s="28">
        <f t="shared" si="24"/>
        <v>0.10367849194920802</v>
      </c>
      <c r="Z33" s="28">
        <f t="shared" si="24"/>
        <v>0.12823554036140375</v>
      </c>
      <c r="AA33" s="28">
        <f t="shared" ref="AA33:AF33" si="25">AA8/AA6</f>
        <v>0.17721722365038561</v>
      </c>
      <c r="AB33" s="28">
        <f t="shared" si="25"/>
        <v>0.15982943684752243</v>
      </c>
      <c r="AC33" s="28">
        <f t="shared" si="25"/>
        <v>0.1608285733948111</v>
      </c>
      <c r="AD33" s="28">
        <f t="shared" si="25"/>
        <v>0.16687611614524769</v>
      </c>
      <c r="AE33" s="28">
        <f t="shared" si="25"/>
        <v>0.16976345995307249</v>
      </c>
      <c r="AF33" s="28">
        <f t="shared" si="25"/>
        <v>0.16794579685813646</v>
      </c>
    </row>
    <row r="34" spans="1:32" x14ac:dyDescent="0.3">
      <c r="A34" s="18" t="s">
        <v>74</v>
      </c>
      <c r="B34" s="17" t="s">
        <v>35</v>
      </c>
      <c r="C34" s="6" t="s">
        <v>54</v>
      </c>
      <c r="D34" s="27" t="e">
        <f t="shared" ref="D34:F34" si="26">D11/D10</f>
        <v>#DIV/0!</v>
      </c>
      <c r="E34" s="27">
        <f t="shared" si="26"/>
        <v>0.43184990653318273</v>
      </c>
      <c r="F34" s="27">
        <f t="shared" si="26"/>
        <v>0.38451108692164349</v>
      </c>
      <c r="G34" s="27">
        <f t="shared" ref="G34:Z34" si="27">G11/G10</f>
        <v>0.370669582097364</v>
      </c>
      <c r="H34" s="27">
        <f t="shared" si="27"/>
        <v>0.41066508069120328</v>
      </c>
      <c r="I34" s="27">
        <f t="shared" si="27"/>
        <v>0.59656839339051515</v>
      </c>
      <c r="J34" s="27">
        <f t="shared" si="27"/>
        <v>0.44949171393197929</v>
      </c>
      <c r="K34" s="27">
        <f t="shared" si="27"/>
        <v>0.2858153285272767</v>
      </c>
      <c r="L34" s="27">
        <f t="shared" si="27"/>
        <v>0.12488552700249789</v>
      </c>
      <c r="M34" s="27">
        <f t="shared" si="27"/>
        <v>0.20521204563028725</v>
      </c>
      <c r="N34" s="27">
        <f t="shared" si="27"/>
        <v>0.19671227092057006</v>
      </c>
      <c r="O34" s="27">
        <f t="shared" si="27"/>
        <v>0.18859408490062254</v>
      </c>
      <c r="P34" s="27">
        <f t="shared" si="27"/>
        <v>0.25499900491927086</v>
      </c>
      <c r="Q34" s="27">
        <f t="shared" si="27"/>
        <v>0.25708479732921419</v>
      </c>
      <c r="R34" s="27">
        <f t="shared" si="27"/>
        <v>0.16351735195059902</v>
      </c>
      <c r="S34" s="27">
        <f t="shared" si="27"/>
        <v>0.1928985752636049</v>
      </c>
      <c r="T34" s="27">
        <f t="shared" si="27"/>
        <v>0.15099510431862684</v>
      </c>
      <c r="U34" s="27">
        <f t="shared" si="27"/>
        <v>0.1900386064047396</v>
      </c>
      <c r="V34" s="27">
        <f t="shared" si="27"/>
        <v>0.1750315854476942</v>
      </c>
      <c r="W34" s="27">
        <f t="shared" si="27"/>
        <v>6.5748661458368052E-2</v>
      </c>
      <c r="X34" s="27">
        <f t="shared" si="27"/>
        <v>6.7745572770277164E-3</v>
      </c>
      <c r="Y34" s="27">
        <f t="shared" si="27"/>
        <v>9.5744476464937556E-2</v>
      </c>
      <c r="Z34" s="27">
        <f t="shared" si="27"/>
        <v>0.19324208725406331</v>
      </c>
      <c r="AA34" s="27">
        <f t="shared" ref="AA34:AF34" si="28">AA11/AA10</f>
        <v>0.20130293159609119</v>
      </c>
      <c r="AB34" s="27">
        <f t="shared" si="28"/>
        <v>0.2251854103343465</v>
      </c>
      <c r="AC34" s="27">
        <f t="shared" si="28"/>
        <v>0.22751518498067363</v>
      </c>
      <c r="AD34" s="27">
        <f t="shared" si="28"/>
        <v>0.22505128205128205</v>
      </c>
      <c r="AE34" s="27">
        <f t="shared" si="28"/>
        <v>0.22308474576271187</v>
      </c>
      <c r="AF34" s="27">
        <f t="shared" si="28"/>
        <v>0.2241955098222638</v>
      </c>
    </row>
    <row r="35" spans="1:32" x14ac:dyDescent="0.3">
      <c r="A35" s="16" t="s">
        <v>75</v>
      </c>
      <c r="B35" s="2" t="s">
        <v>36</v>
      </c>
      <c r="C35" s="1" t="s">
        <v>108</v>
      </c>
      <c r="D35" s="28" t="e">
        <f t="shared" ref="D35:F35" si="29">D12/D6</f>
        <v>#DIV/0!</v>
      </c>
      <c r="E35" s="28">
        <f t="shared" si="29"/>
        <v>0.17367536701421835</v>
      </c>
      <c r="F35" s="28">
        <f t="shared" si="29"/>
        <v>0.1673016380132184</v>
      </c>
      <c r="G35" s="28">
        <f t="shared" ref="G35:Z35" si="30">G12/G6</f>
        <v>0.13306067580051853</v>
      </c>
      <c r="H35" s="28">
        <f t="shared" si="30"/>
        <v>7.5786616184531336E-2</v>
      </c>
      <c r="I35" s="28">
        <f t="shared" si="30"/>
        <v>5.5979987107849849E-2</v>
      </c>
      <c r="J35" s="28">
        <f t="shared" si="30"/>
        <v>5.9028452715082072E-2</v>
      </c>
      <c r="K35" s="28">
        <f t="shared" si="30"/>
        <v>6.5701251505009328E-2</v>
      </c>
      <c r="L35" s="28">
        <f t="shared" si="30"/>
        <v>0.12022883203648511</v>
      </c>
      <c r="M35" s="28">
        <f t="shared" si="30"/>
        <v>9.8270540973345838E-2</v>
      </c>
      <c r="N35" s="28">
        <f t="shared" si="30"/>
        <v>9.8820900757421504E-2</v>
      </c>
      <c r="O35" s="28">
        <f t="shared" si="30"/>
        <v>8.7207895919285808E-2</v>
      </c>
      <c r="P35" s="28">
        <f t="shared" si="30"/>
        <v>9.5748986576415868E-2</v>
      </c>
      <c r="Q35" s="28">
        <f t="shared" si="30"/>
        <v>8.7123243087764923E-2</v>
      </c>
      <c r="R35" s="28">
        <f t="shared" si="30"/>
        <v>8.8088891293221519E-2</v>
      </c>
      <c r="S35" s="28">
        <f t="shared" si="30"/>
        <v>7.2347953659806258E-2</v>
      </c>
      <c r="T35" s="28">
        <f t="shared" si="30"/>
        <v>7.3311498577931747E-2</v>
      </c>
      <c r="U35" s="28">
        <f t="shared" si="30"/>
        <v>7.7563463540274588E-2</v>
      </c>
      <c r="V35" s="28">
        <f t="shared" si="30"/>
        <v>8.0373664697209773E-2</v>
      </c>
      <c r="W35" s="28">
        <f t="shared" si="30"/>
        <v>6.5843727415464459E-2</v>
      </c>
      <c r="X35" s="28">
        <f t="shared" si="30"/>
        <v>7.0684676673491473E-2</v>
      </c>
      <c r="Y35" s="28">
        <f t="shared" si="30"/>
        <v>3.3982851158528608E-2</v>
      </c>
      <c r="Z35" s="28">
        <f t="shared" si="30"/>
        <v>3.5721760971185373E-2</v>
      </c>
      <c r="AA35" s="28">
        <f t="shared" ref="AA35:AF35" si="31">AA12/AA6</f>
        <v>6.4347686375321331E-2</v>
      </c>
      <c r="AB35" s="28">
        <f t="shared" si="31"/>
        <v>6.000735186002059E-2</v>
      </c>
      <c r="AC35" s="28">
        <f t="shared" si="31"/>
        <v>6.428394467001583E-2</v>
      </c>
      <c r="AD35" s="28">
        <f t="shared" si="31"/>
        <v>6.7597063297837157E-2</v>
      </c>
      <c r="AE35" s="28">
        <f t="shared" si="31"/>
        <v>7.2166909759655021E-2</v>
      </c>
      <c r="AF35" s="28">
        <f t="shared" si="31"/>
        <v>7.0332174121597313E-2</v>
      </c>
    </row>
    <row r="36" spans="1:32" x14ac:dyDescent="0.3">
      <c r="A36" s="18" t="s">
        <v>76</v>
      </c>
      <c r="B36" s="17" t="s">
        <v>37</v>
      </c>
      <c r="C36" s="6" t="s">
        <v>56</v>
      </c>
      <c r="D36" s="29" t="e">
        <f t="shared" ref="D36" si="32">D26/D12</f>
        <v>#DIV/0!</v>
      </c>
      <c r="E36" s="29">
        <f t="shared" ref="E36:AF36" si="33">IF(E26/E12&lt;0,0,E26/E12)</f>
        <v>0</v>
      </c>
      <c r="F36" s="29">
        <f t="shared" si="33"/>
        <v>23.399055966711718</v>
      </c>
      <c r="G36" s="29">
        <f t="shared" si="33"/>
        <v>22.288132110296402</v>
      </c>
      <c r="H36" s="29">
        <f t="shared" si="33"/>
        <v>18.790814794712045</v>
      </c>
      <c r="I36" s="29">
        <f t="shared" si="33"/>
        <v>16.522481027158609</v>
      </c>
      <c r="J36" s="29">
        <f t="shared" si="33"/>
        <v>19.092175729253309</v>
      </c>
      <c r="K36" s="29">
        <f t="shared" si="33"/>
        <v>18.340482378814592</v>
      </c>
      <c r="L36" s="29">
        <f t="shared" si="33"/>
        <v>8.4643256373200142</v>
      </c>
      <c r="M36" s="29">
        <f t="shared" si="33"/>
        <v>13.667321152747613</v>
      </c>
      <c r="N36" s="29">
        <f t="shared" si="33"/>
        <v>14.871311788033214</v>
      </c>
      <c r="O36" s="29">
        <f t="shared" si="33"/>
        <v>8.0665394595236997</v>
      </c>
      <c r="P36" s="29">
        <f t="shared" si="33"/>
        <v>9.6393072630864243</v>
      </c>
      <c r="Q36" s="29">
        <f t="shared" si="33"/>
        <v>7.3009822606655916</v>
      </c>
      <c r="R36" s="29">
        <f t="shared" si="33"/>
        <v>6.5026250413857882</v>
      </c>
      <c r="S36" s="29">
        <f t="shared" si="33"/>
        <v>7.0201961671692805</v>
      </c>
      <c r="T36" s="29">
        <f t="shared" si="33"/>
        <v>8.1138696112265958</v>
      </c>
      <c r="U36" s="29">
        <f t="shared" si="33"/>
        <v>9.2537960611167822</v>
      </c>
      <c r="V36" s="29">
        <f t="shared" si="33"/>
        <v>9.6740226854680529</v>
      </c>
      <c r="W36" s="29">
        <f t="shared" si="33"/>
        <v>11.184089490114465</v>
      </c>
      <c r="X36" s="29">
        <f t="shared" si="33"/>
        <v>9.4975677178796065</v>
      </c>
      <c r="Y36" s="29">
        <f t="shared" si="33"/>
        <v>21.345981240008474</v>
      </c>
      <c r="Z36" s="29">
        <f t="shared" si="33"/>
        <v>27.619101562499999</v>
      </c>
      <c r="AA36" s="29">
        <f t="shared" si="33"/>
        <v>24.228694132334578</v>
      </c>
      <c r="AB36" s="29">
        <f t="shared" si="33"/>
        <v>23.508211021538308</v>
      </c>
      <c r="AC36" s="29">
        <f t="shared" si="33"/>
        <v>17.379231568016614</v>
      </c>
      <c r="AD36" s="29">
        <f t="shared" si="33"/>
        <v>15.832727984344421</v>
      </c>
      <c r="AE36" s="29">
        <f t="shared" si="33"/>
        <v>14.226021089630931</v>
      </c>
      <c r="AF36" s="29">
        <f t="shared" si="33"/>
        <v>13.801544757033248</v>
      </c>
    </row>
    <row r="37" spans="1:32" x14ac:dyDescent="0.3">
      <c r="A37" s="16" t="s">
        <v>77</v>
      </c>
      <c r="B37" s="2" t="s">
        <v>38</v>
      </c>
      <c r="C37" s="1" t="s">
        <v>57</v>
      </c>
      <c r="D37" s="30" t="e">
        <f t="shared" ref="D37:F37" si="34">D26/D23</f>
        <v>#DIV/0!</v>
      </c>
      <c r="E37" s="30">
        <f t="shared" si="34"/>
        <v>0</v>
      </c>
      <c r="F37" s="30">
        <f t="shared" si="34"/>
        <v>1.9843004559779931</v>
      </c>
      <c r="G37" s="30">
        <f t="shared" ref="G37:AA37" si="35">G26/G23</f>
        <v>2.0308960638460714</v>
      </c>
      <c r="H37" s="30">
        <f t="shared" si="35"/>
        <v>1.3893942294368264</v>
      </c>
      <c r="I37" s="30">
        <f t="shared" si="35"/>
        <v>1.0080845519860828</v>
      </c>
      <c r="J37" s="30">
        <f t="shared" si="35"/>
        <v>1.3733843688768248</v>
      </c>
      <c r="K37" s="30">
        <f t="shared" si="35"/>
        <v>1.6881944959999331</v>
      </c>
      <c r="L37" s="30">
        <f t="shared" si="35"/>
        <v>1.5401323774214499</v>
      </c>
      <c r="M37" s="30">
        <f t="shared" si="35"/>
        <v>2.1271646863240057</v>
      </c>
      <c r="N37" s="30">
        <f t="shared" si="35"/>
        <v>2.231679605978508</v>
      </c>
      <c r="O37" s="30">
        <f t="shared" si="35"/>
        <v>1.1435713191751544</v>
      </c>
      <c r="P37" s="30">
        <f t="shared" si="35"/>
        <v>1.128224471994715</v>
      </c>
      <c r="Q37" s="30">
        <f t="shared" si="35"/>
        <v>0.83577508268691614</v>
      </c>
      <c r="R37" s="30">
        <f t="shared" si="35"/>
        <v>0.76065057554906446</v>
      </c>
      <c r="S37" s="30">
        <f t="shared" si="35"/>
        <v>0.7259623005146757</v>
      </c>
      <c r="T37" s="30">
        <f t="shared" si="35"/>
        <v>0.84005658618541346</v>
      </c>
      <c r="U37" s="30">
        <f t="shared" si="35"/>
        <v>0.97709911418895123</v>
      </c>
      <c r="V37" s="30">
        <f t="shared" si="35"/>
        <v>1.3915663206459052</v>
      </c>
      <c r="W37" s="30">
        <f t="shared" si="35"/>
        <v>1.1426653200085053</v>
      </c>
      <c r="X37" s="30">
        <f t="shared" si="35"/>
        <v>1.1073531185837</v>
      </c>
      <c r="Y37" s="30">
        <f t="shared" si="35"/>
        <v>1.2357961641391615</v>
      </c>
      <c r="Z37" s="30">
        <f t="shared" si="35"/>
        <v>1.5964077669902912</v>
      </c>
      <c r="AA37" s="30">
        <f t="shared" si="35"/>
        <v>2.0251679014922255</v>
      </c>
      <c r="AB37" s="30">
        <f t="shared" ref="AB37" si="36">AB26/AB23</f>
        <v>2.098411198600175</v>
      </c>
      <c r="AC37" s="30"/>
      <c r="AD37" s="1"/>
      <c r="AE37" s="1"/>
      <c r="AF37" s="1"/>
    </row>
    <row r="38" spans="1:32" x14ac:dyDescent="0.3">
      <c r="A38" s="18" t="s">
        <v>78</v>
      </c>
      <c r="B38" s="17" t="s">
        <v>39</v>
      </c>
      <c r="C38" s="6" t="s">
        <v>106</v>
      </c>
      <c r="D38" s="55" t="e">
        <f t="shared" ref="D38:E38" si="37">D8/D23</f>
        <v>#DIV/0!</v>
      </c>
      <c r="E38" s="55">
        <f t="shared" si="37"/>
        <v>0.17313870697719178</v>
      </c>
      <c r="F38" s="55">
        <f>F8/F23</f>
        <v>0.14954901802580159</v>
      </c>
      <c r="G38" s="55">
        <f t="shared" ref="G38:AA38" si="38">G8/G23</f>
        <v>0.12023193922558567</v>
      </c>
      <c r="H38" s="55">
        <f t="shared" si="38"/>
        <v>0.11047387472010362</v>
      </c>
      <c r="I38" s="55">
        <f t="shared" si="38"/>
        <v>0.11807107955287975</v>
      </c>
      <c r="J38" s="55">
        <f t="shared" si="38"/>
        <v>0.17095900401792599</v>
      </c>
      <c r="K38" s="55">
        <f t="shared" si="38"/>
        <v>0.22134909589390592</v>
      </c>
      <c r="L38" s="55">
        <f t="shared" si="38"/>
        <v>0.33599054713480891</v>
      </c>
      <c r="M38" s="55">
        <f t="shared" si="38"/>
        <v>0.19174536212971102</v>
      </c>
      <c r="N38" s="55">
        <f t="shared" si="38"/>
        <v>0.17806848705213735</v>
      </c>
      <c r="O38" s="55">
        <f t="shared" si="38"/>
        <v>0.22581192803152578</v>
      </c>
      <c r="P38" s="55">
        <f t="shared" si="38"/>
        <v>0.19742074308766844</v>
      </c>
      <c r="Q38" s="55">
        <f t="shared" si="38"/>
        <v>0.19137763991499643</v>
      </c>
      <c r="R38" s="55">
        <f t="shared" si="38"/>
        <v>0.19917836290666568</v>
      </c>
      <c r="S38" s="55">
        <f t="shared" si="38"/>
        <v>0.19374504228079403</v>
      </c>
      <c r="T38" s="55">
        <f t="shared" si="38"/>
        <v>0.18372814064519286</v>
      </c>
      <c r="U38" s="55">
        <f t="shared" si="38"/>
        <v>0.18322112257986034</v>
      </c>
      <c r="V38" s="55">
        <f t="shared" si="38"/>
        <v>0.28177623990772782</v>
      </c>
      <c r="W38" s="55">
        <f t="shared" si="38"/>
        <v>0.24069742717414416</v>
      </c>
      <c r="X38" s="55">
        <f t="shared" si="38"/>
        <v>0.24282421956840561</v>
      </c>
      <c r="Y38" s="55">
        <f t="shared" si="38"/>
        <v>0.17662801070472792</v>
      </c>
      <c r="Z38" s="55">
        <f t="shared" si="38"/>
        <v>0.20749604876947392</v>
      </c>
      <c r="AA38" s="55">
        <f t="shared" si="38"/>
        <v>0.23019931128039237</v>
      </c>
      <c r="AB38" s="55">
        <f t="shared" ref="AB38" si="39">AB8/AB23</f>
        <v>0.23775153105861768</v>
      </c>
      <c r="AC38" s="55"/>
      <c r="AD38" s="1"/>
      <c r="AE38" s="1"/>
      <c r="AF38" s="1"/>
    </row>
    <row r="39" spans="1:32" x14ac:dyDescent="0.3">
      <c r="A39" s="16" t="s">
        <v>79</v>
      </c>
      <c r="B39" s="2" t="s">
        <v>40</v>
      </c>
      <c r="C39" s="1" t="s">
        <v>107</v>
      </c>
      <c r="D39" s="56" t="e">
        <f t="shared" ref="D39:F39" si="40">D12/D23</f>
        <v>#DIV/0!</v>
      </c>
      <c r="E39" s="56">
        <f t="shared" si="40"/>
        <v>8.5320447774737754E-2</v>
      </c>
      <c r="F39" s="56">
        <f t="shared" si="40"/>
        <v>8.4802586001799629E-2</v>
      </c>
      <c r="G39" s="56">
        <f t="shared" ref="G39:AA39" si="41">G12/G23</f>
        <v>9.1120065772934952E-2</v>
      </c>
      <c r="H39" s="56">
        <f t="shared" si="41"/>
        <v>7.3940073627239311E-2</v>
      </c>
      <c r="I39" s="56">
        <f t="shared" si="41"/>
        <v>6.1012904195747432E-2</v>
      </c>
      <c r="J39" s="56">
        <f t="shared" si="41"/>
        <v>7.193440854268407E-2</v>
      </c>
      <c r="K39" s="56">
        <f t="shared" si="41"/>
        <v>9.2047442435319787E-2</v>
      </c>
      <c r="L39" s="56">
        <f t="shared" si="41"/>
        <v>0.18195570957606597</v>
      </c>
      <c r="M39" s="56">
        <f t="shared" si="41"/>
        <v>0.15563874314143639</v>
      </c>
      <c r="N39" s="56">
        <f t="shared" si="41"/>
        <v>0.15006608951433034</v>
      </c>
      <c r="O39" s="56">
        <f t="shared" si="41"/>
        <v>0.14176727516345383</v>
      </c>
      <c r="P39" s="56">
        <f t="shared" si="41"/>
        <v>0.11704414448071729</v>
      </c>
      <c r="Q39" s="56">
        <f t="shared" si="41"/>
        <v>0.11447433411661556</v>
      </c>
      <c r="R39" s="56">
        <f t="shared" si="41"/>
        <v>0.11697592444711538</v>
      </c>
      <c r="S39" s="56">
        <f t="shared" si="41"/>
        <v>0.10341054341326218</v>
      </c>
      <c r="T39" s="56">
        <f t="shared" si="41"/>
        <v>0.10353340963516171</v>
      </c>
      <c r="U39" s="56">
        <f t="shared" si="41"/>
        <v>0.10558900452697369</v>
      </c>
      <c r="V39" s="56">
        <f t="shared" si="41"/>
        <v>0.14384567474048443</v>
      </c>
      <c r="W39" s="56">
        <f t="shared" si="41"/>
        <v>0.10216882840739953</v>
      </c>
      <c r="X39" s="56">
        <f t="shared" si="41"/>
        <v>0.11659333752357008</v>
      </c>
      <c r="Y39" s="56">
        <f t="shared" si="41"/>
        <v>5.7893621766280115E-2</v>
      </c>
      <c r="Z39" s="56">
        <f t="shared" si="41"/>
        <v>5.7800857981485661E-2</v>
      </c>
      <c r="AA39" s="56">
        <f t="shared" si="41"/>
        <v>8.3585516017948447E-2</v>
      </c>
      <c r="AB39" s="56">
        <f t="shared" ref="AB39" si="42">AB12/AB23</f>
        <v>8.9262904636920382E-2</v>
      </c>
      <c r="AC39" s="56"/>
      <c r="AD39" s="1"/>
      <c r="AE39" s="1"/>
      <c r="AF39" s="1"/>
    </row>
    <row r="40" spans="1:32" x14ac:dyDescent="0.3">
      <c r="A40" s="18" t="s">
        <v>80</v>
      </c>
      <c r="B40" s="17" t="s">
        <v>41</v>
      </c>
      <c r="C40" s="6" t="s">
        <v>61</v>
      </c>
      <c r="D40" s="7">
        <f t="shared" ref="D40:F40" si="43">D20-D19</f>
        <v>0</v>
      </c>
      <c r="E40" s="7">
        <f t="shared" si="43"/>
        <v>-575.03111000000001</v>
      </c>
      <c r="F40" s="7">
        <f t="shared" si="43"/>
        <v>-447.27490499999999</v>
      </c>
      <c r="G40" s="7">
        <f t="shared" ref="G40:AA40" si="44">G20-G19</f>
        <v>-1425.5029420000001</v>
      </c>
      <c r="H40" s="7">
        <f t="shared" si="44"/>
        <v>-1951.8151969999999</v>
      </c>
      <c r="I40" s="7">
        <f t="shared" si="44"/>
        <v>-2482.1849999999999</v>
      </c>
      <c r="J40" s="7">
        <f t="shared" si="44"/>
        <v>-2315.1100000000006</v>
      </c>
      <c r="K40" s="7">
        <f t="shared" si="44"/>
        <v>-3017.3499999999995</v>
      </c>
      <c r="L40" s="7">
        <f t="shared" si="44"/>
        <v>-2205.3860000000004</v>
      </c>
      <c r="M40" s="7">
        <f t="shared" si="44"/>
        <v>-641.96600000000035</v>
      </c>
      <c r="N40" s="7">
        <f t="shared" si="44"/>
        <v>-2403.1279999999997</v>
      </c>
      <c r="O40" s="7">
        <f t="shared" si="44"/>
        <v>-3441.45</v>
      </c>
      <c r="P40" s="7">
        <f t="shared" si="44"/>
        <v>-2044.2749999999996</v>
      </c>
      <c r="Q40" s="7">
        <f t="shared" si="44"/>
        <v>-448.01400000000012</v>
      </c>
      <c r="R40" s="7">
        <f t="shared" si="44"/>
        <v>-429.06999999999971</v>
      </c>
      <c r="S40" s="7">
        <f t="shared" si="44"/>
        <v>-759.01500000000033</v>
      </c>
      <c r="T40" s="7">
        <f t="shared" si="44"/>
        <v>-1003.9839999999995</v>
      </c>
      <c r="U40" s="7">
        <f t="shared" si="44"/>
        <v>-496.80099999999948</v>
      </c>
      <c r="V40" s="7">
        <f t="shared" si="44"/>
        <v>-2242.3999999999996</v>
      </c>
      <c r="W40" s="7">
        <f t="shared" si="44"/>
        <v>-1089.4090000000006</v>
      </c>
      <c r="X40" s="7">
        <f t="shared" si="44"/>
        <v>836</v>
      </c>
      <c r="Y40" s="7">
        <f t="shared" si="44"/>
        <v>-1726</v>
      </c>
      <c r="Z40" s="7">
        <f t="shared" si="44"/>
        <v>-435</v>
      </c>
      <c r="AA40" s="7">
        <f t="shared" si="44"/>
        <v>452</v>
      </c>
      <c r="AB40" s="7">
        <f t="shared" ref="AB40" si="45">AB20-AB19</f>
        <v>1561</v>
      </c>
      <c r="AC40" s="7"/>
      <c r="AD40" s="1"/>
      <c r="AE40" s="1"/>
      <c r="AF40" s="1"/>
    </row>
    <row r="41" spans="1:32" x14ac:dyDescent="0.3">
      <c r="A41" s="53" t="s">
        <v>96</v>
      </c>
      <c r="B41" s="49" t="s">
        <v>42</v>
      </c>
      <c r="C41" s="52" t="s">
        <v>98</v>
      </c>
      <c r="D41" s="29" t="e">
        <f>D20/D19</f>
        <v>#DIV/0!</v>
      </c>
      <c r="E41" s="29">
        <f t="shared" ref="E41:F41" si="46">E20/E19</f>
        <v>0.48303239130298953</v>
      </c>
      <c r="F41" s="29">
        <f t="shared" si="46"/>
        <v>0.58241674477886263</v>
      </c>
      <c r="G41" s="29">
        <f t="shared" ref="G41:AA41" si="47">G20/G19</f>
        <v>0.42630229402263481</v>
      </c>
      <c r="H41" s="29">
        <f t="shared" si="47"/>
        <v>0.40858931191552073</v>
      </c>
      <c r="I41" s="29">
        <f t="shared" si="47"/>
        <v>0.48899653976389362</v>
      </c>
      <c r="J41" s="29">
        <f t="shared" si="47"/>
        <v>0.52132731798896714</v>
      </c>
      <c r="K41" s="29">
        <f t="shared" si="47"/>
        <v>0.48066568973606699</v>
      </c>
      <c r="L41" s="29">
        <f t="shared" si="47"/>
        <v>0.66232869434259933</v>
      </c>
      <c r="M41" s="29">
        <f t="shared" si="47"/>
        <v>0.87075973344494484</v>
      </c>
      <c r="N41" s="29">
        <f t="shared" si="47"/>
        <v>0.64490234448016581</v>
      </c>
      <c r="O41" s="29">
        <f t="shared" si="47"/>
        <v>0.58880648437041672</v>
      </c>
      <c r="P41" s="29">
        <f t="shared" si="47"/>
        <v>0.77051331085100383</v>
      </c>
      <c r="Q41" s="29">
        <f t="shared" si="47"/>
        <v>0.94203946652618575</v>
      </c>
      <c r="R41" s="29">
        <f t="shared" si="47"/>
        <v>0.94200651745805619</v>
      </c>
      <c r="S41" s="29">
        <f t="shared" si="47"/>
        <v>0.9068874449708314</v>
      </c>
      <c r="T41" s="29">
        <f t="shared" si="47"/>
        <v>0.88827570612214379</v>
      </c>
      <c r="U41" s="29">
        <f t="shared" si="47"/>
        <v>0.93760673584669174</v>
      </c>
      <c r="V41" s="29">
        <f t="shared" si="47"/>
        <v>0.72301745456944</v>
      </c>
      <c r="W41" s="29">
        <f t="shared" si="47"/>
        <v>0.85599611163632738</v>
      </c>
      <c r="X41" s="29">
        <f t="shared" si="47"/>
        <v>1.1335463258785943</v>
      </c>
      <c r="Y41" s="29">
        <f t="shared" si="47"/>
        <v>0.78863580700465341</v>
      </c>
      <c r="Z41" s="29">
        <f t="shared" si="47"/>
        <v>0.95055132431510747</v>
      </c>
      <c r="AA41" s="29">
        <f t="shared" si="47"/>
        <v>1.0589462702138759</v>
      </c>
      <c r="AB41" s="29">
        <f t="shared" ref="AB41" si="48">AB20/AB19</f>
        <v>1.1593832958954462</v>
      </c>
      <c r="AC41" s="29"/>
      <c r="AD41" s="1"/>
      <c r="AE41" s="1"/>
      <c r="AF41" s="1"/>
    </row>
    <row r="42" spans="1:32" x14ac:dyDescent="0.3">
      <c r="A42" s="16" t="s">
        <v>81</v>
      </c>
      <c r="B42" s="17" t="s">
        <v>43</v>
      </c>
      <c r="C42" s="1" t="s">
        <v>60</v>
      </c>
      <c r="D42" s="30" t="e">
        <f t="shared" ref="D42" si="49">(D20-D21)/D19</f>
        <v>#DIV/0!</v>
      </c>
      <c r="E42" s="30">
        <f t="shared" ref="E42:F42" si="50">(E20-E21)/E19</f>
        <v>0.42248984112467008</v>
      </c>
      <c r="F42" s="30">
        <f t="shared" si="50"/>
        <v>0.47995524092864422</v>
      </c>
      <c r="G42" s="30">
        <f t="shared" ref="G42:AA42" si="51">(G20-G21)/G19</f>
        <v>0.38089478538999122</v>
      </c>
      <c r="H42" s="30">
        <f t="shared" si="51"/>
        <v>0.37830489990317961</v>
      </c>
      <c r="I42" s="30">
        <f t="shared" si="51"/>
        <v>0.45805348955176683</v>
      </c>
      <c r="J42" s="30">
        <f t="shared" si="51"/>
        <v>0.48840364559642052</v>
      </c>
      <c r="K42" s="30">
        <f t="shared" si="51"/>
        <v>0.45367686316465622</v>
      </c>
      <c r="L42" s="30">
        <f t="shared" si="51"/>
        <v>0.62876743832108273</v>
      </c>
      <c r="M42" s="30">
        <f t="shared" si="51"/>
        <v>0.82471957705191357</v>
      </c>
      <c r="N42" s="30">
        <f t="shared" si="51"/>
        <v>0.60314475938206547</v>
      </c>
      <c r="O42" s="30">
        <f t="shared" si="51"/>
        <v>0.55573369088910252</v>
      </c>
      <c r="P42" s="30">
        <f t="shared" si="51"/>
        <v>0.73982460549932849</v>
      </c>
      <c r="Q42" s="30">
        <f t="shared" si="51"/>
        <v>0.89585645590951912</v>
      </c>
      <c r="R42" s="30">
        <f t="shared" si="51"/>
        <v>0.89523274029240707</v>
      </c>
      <c r="S42" s="30">
        <f t="shared" si="51"/>
        <v>0.86056296283937861</v>
      </c>
      <c r="T42" s="30">
        <f t="shared" si="51"/>
        <v>0.8588098457824076</v>
      </c>
      <c r="U42" s="30">
        <f t="shared" si="51"/>
        <v>0.90414251255963329</v>
      </c>
      <c r="V42" s="30">
        <f t="shared" si="51"/>
        <v>0.69779381129785911</v>
      </c>
      <c r="W42" s="30">
        <f t="shared" si="51"/>
        <v>0.81414927636462842</v>
      </c>
      <c r="X42" s="20">
        <f t="shared" si="51"/>
        <v>1.0910543130990416</v>
      </c>
      <c r="Y42" s="30">
        <f t="shared" si="51"/>
        <v>0.74675483712956159</v>
      </c>
      <c r="Z42" s="30">
        <f t="shared" si="51"/>
        <v>0.90871888143685342</v>
      </c>
      <c r="AA42" s="30">
        <f t="shared" si="51"/>
        <v>1.0166927490871154</v>
      </c>
      <c r="AB42" s="30">
        <f t="shared" ref="AB42" si="52">(AB20-AB21)/AB19</f>
        <v>1.1219113743108025</v>
      </c>
      <c r="AC42" s="30"/>
      <c r="AD42" s="1"/>
      <c r="AE42" s="1"/>
      <c r="AF42" s="1"/>
    </row>
    <row r="43" spans="1:32" x14ac:dyDescent="0.3">
      <c r="A43" s="18" t="s">
        <v>82</v>
      </c>
      <c r="B43" s="49" t="s">
        <v>44</v>
      </c>
      <c r="C43" s="6" t="s">
        <v>62</v>
      </c>
      <c r="D43" s="29" t="e">
        <f t="shared" ref="D43" si="53">D14/D19</f>
        <v>#DIV/0!</v>
      </c>
      <c r="E43" s="29">
        <f t="shared" ref="E43:F43" si="54">E14/E19</f>
        <v>0</v>
      </c>
      <c r="F43" s="29">
        <f t="shared" si="54"/>
        <v>-6.2096825568810909E-2</v>
      </c>
      <c r="G43" s="29">
        <f t="shared" ref="G43:AA43" si="55">G14/G19</f>
        <v>-3.709360729864965E-3</v>
      </c>
      <c r="H43" s="29">
        <f t="shared" si="55"/>
        <v>-0.14196629551036352</v>
      </c>
      <c r="I43" s="29">
        <f t="shared" si="55"/>
        <v>-8.3841759664286281E-2</v>
      </c>
      <c r="J43" s="29">
        <f t="shared" si="55"/>
        <v>-6.3766923325035349E-2</v>
      </c>
      <c r="K43" s="29">
        <f t="shared" si="55"/>
        <v>-5.2155977056244425E-2</v>
      </c>
      <c r="L43" s="29">
        <f t="shared" si="55"/>
        <v>4.0935747727586604E-2</v>
      </c>
      <c r="M43" s="29">
        <f t="shared" si="55"/>
        <v>0.15143875992026942</v>
      </c>
      <c r="N43" s="29">
        <f t="shared" si="55"/>
        <v>0.1277738217865263</v>
      </c>
      <c r="O43" s="29">
        <f t="shared" si="55"/>
        <v>8.1429805684195208E-2</v>
      </c>
      <c r="P43" s="29">
        <f t="shared" si="55"/>
        <v>0.24579612581138846</v>
      </c>
      <c r="Q43" s="29">
        <f t="shared" si="55"/>
        <v>0.20546405854141442</v>
      </c>
      <c r="R43" s="29">
        <f t="shared" si="55"/>
        <v>0.23403432275609271</v>
      </c>
      <c r="S43" s="29">
        <f t="shared" si="55"/>
        <v>0.20797621469000019</v>
      </c>
      <c r="T43" s="29">
        <f t="shared" si="55"/>
        <v>0.24000040506266007</v>
      </c>
      <c r="U43" s="29">
        <f t="shared" si="55"/>
        <v>0.32829177181693892</v>
      </c>
      <c r="V43" s="29">
        <f t="shared" si="55"/>
        <v>0.1503245441442167</v>
      </c>
      <c r="W43" s="29">
        <f t="shared" si="55"/>
        <v>0.18638131555070522</v>
      </c>
      <c r="X43" s="29">
        <f t="shared" si="55"/>
        <v>0.37316293929712457</v>
      </c>
      <c r="Y43" s="29">
        <f t="shared" si="55"/>
        <v>0.14290962527553269</v>
      </c>
      <c r="Z43" s="29">
        <f t="shared" si="55"/>
        <v>0.10730930999204275</v>
      </c>
      <c r="AA43" s="29">
        <f t="shared" si="55"/>
        <v>0.38080333854981741</v>
      </c>
      <c r="AB43" s="29">
        <f t="shared" ref="AB43" si="56">AB14/AB19</f>
        <v>0.25730038799264854</v>
      </c>
      <c r="AC43" s="29"/>
      <c r="AD43" s="1"/>
      <c r="AE43" s="1"/>
      <c r="AF43" s="1"/>
    </row>
    <row r="44" spans="1:32" x14ac:dyDescent="0.3">
      <c r="A44" s="16" t="s">
        <v>83</v>
      </c>
      <c r="B44" s="17" t="s">
        <v>45</v>
      </c>
      <c r="C44" s="1" t="s">
        <v>63</v>
      </c>
      <c r="D44" s="30" t="e">
        <f t="shared" ref="D44" si="57">D29/D7</f>
        <v>#DIV/0!</v>
      </c>
      <c r="E44" s="30">
        <f t="shared" ref="E44:F44" si="58">E29/E7</f>
        <v>2.0757700168644497</v>
      </c>
      <c r="F44" s="30">
        <f t="shared" si="58"/>
        <v>2.8830743464322688</v>
      </c>
      <c r="G44" s="30">
        <f t="shared" ref="G44:AA44" si="59">G29/G7</f>
        <v>1.9068709615940647</v>
      </c>
      <c r="H44" s="30">
        <f t="shared" si="59"/>
        <v>3.0120210029553336</v>
      </c>
      <c r="I44" s="30">
        <f t="shared" si="59"/>
        <v>5.6426828039680572</v>
      </c>
      <c r="J44" s="30">
        <f t="shared" si="59"/>
        <v>4.2698129214467118</v>
      </c>
      <c r="K44" s="30">
        <f t="shared" si="59"/>
        <v>7.4689913407931678</v>
      </c>
      <c r="L44" s="30">
        <f t="shared" si="59"/>
        <v>4.5771358423649859</v>
      </c>
      <c r="M44" s="30">
        <f t="shared" si="59"/>
        <v>4.0662705426095052</v>
      </c>
      <c r="N44" s="30">
        <f t="shared" si="59"/>
        <v>3.9128408157416343</v>
      </c>
      <c r="O44" s="30">
        <f t="shared" si="59"/>
        <v>4.43901397682869</v>
      </c>
      <c r="P44" s="30">
        <f t="shared" si="59"/>
        <v>4.1901338090990183</v>
      </c>
      <c r="Q44" s="30">
        <f t="shared" si="59"/>
        <v>4.5124503182950457</v>
      </c>
      <c r="R44" s="30">
        <f t="shared" si="59"/>
        <v>4.5391495874367846</v>
      </c>
      <c r="S44" s="30">
        <f t="shared" si="59"/>
        <v>5.1610499129129508</v>
      </c>
      <c r="T44" s="30">
        <f t="shared" si="59"/>
        <v>5.0039513618677045</v>
      </c>
      <c r="U44" s="30">
        <f t="shared" si="59"/>
        <v>4.8556254805052177</v>
      </c>
      <c r="V44" s="30">
        <f t="shared" si="59"/>
        <v>4.5558103975535165</v>
      </c>
      <c r="W44" s="30">
        <f t="shared" si="59"/>
        <v>4.5142325086459163</v>
      </c>
      <c r="X44" s="30">
        <f t="shared" si="59"/>
        <v>3.7651477215823737</v>
      </c>
      <c r="Y44" s="30">
        <f t="shared" si="59"/>
        <v>4.6204401567681641</v>
      </c>
      <c r="Z44" s="30">
        <f t="shared" si="59"/>
        <v>4.4382083108472745</v>
      </c>
      <c r="AA44" s="30">
        <f t="shared" si="59"/>
        <v>3.992070002734482</v>
      </c>
      <c r="AB44" s="30">
        <f t="shared" ref="AB44" si="60">AB29/AB7</f>
        <v>4.2049469964664308</v>
      </c>
      <c r="AC44" s="30"/>
      <c r="AD44" s="1"/>
      <c r="AE44" s="1"/>
      <c r="AF44" s="1"/>
    </row>
    <row r="45" spans="1:32" x14ac:dyDescent="0.3">
      <c r="A45" s="18" t="s">
        <v>84</v>
      </c>
      <c r="B45" s="54" t="s">
        <v>99</v>
      </c>
      <c r="C45" s="6" t="s">
        <v>64</v>
      </c>
      <c r="D45" s="29" t="e">
        <f t="shared" ref="D45" si="61">D18/D23</f>
        <v>#DIV/0!</v>
      </c>
      <c r="E45" s="29">
        <f t="shared" ref="E45:F45" si="62">E18/E23</f>
        <v>1.0325866928732286</v>
      </c>
      <c r="F45" s="29">
        <f t="shared" si="62"/>
        <v>1.2619261252064533</v>
      </c>
      <c r="G45" s="29">
        <f t="shared" ref="G45:AA45" si="63">G18/G23</f>
        <v>1.4349119930371674</v>
      </c>
      <c r="H45" s="29">
        <f t="shared" si="63"/>
        <v>1.5902790581349988</v>
      </c>
      <c r="I45" s="29">
        <f t="shared" si="63"/>
        <v>2.2281202188060028</v>
      </c>
      <c r="J45" s="29">
        <f t="shared" si="63"/>
        <v>2.4025394832434159</v>
      </c>
      <c r="K45" s="29">
        <f t="shared" si="63"/>
        <v>3.3709477298796791</v>
      </c>
      <c r="L45" s="29">
        <f t="shared" si="63"/>
        <v>2.9326352447152861</v>
      </c>
      <c r="M45" s="29">
        <f t="shared" si="63"/>
        <v>2.8973705166845809</v>
      </c>
      <c r="N45" s="29">
        <f t="shared" si="63"/>
        <v>3.3421317068030825</v>
      </c>
      <c r="O45" s="29">
        <f t="shared" si="63"/>
        <v>3.1798096832433811</v>
      </c>
      <c r="P45" s="29">
        <f t="shared" si="63"/>
        <v>2.8717092868320964</v>
      </c>
      <c r="Q45" s="29">
        <f t="shared" si="63"/>
        <v>2.7541962839172589</v>
      </c>
      <c r="R45" s="29">
        <f t="shared" si="63"/>
        <v>2.6253076484579174</v>
      </c>
      <c r="S45" s="29">
        <f t="shared" si="63"/>
        <v>2.7289259975009772</v>
      </c>
      <c r="T45" s="29">
        <f t="shared" si="63"/>
        <v>2.6490193098449311</v>
      </c>
      <c r="U45" s="29">
        <f t="shared" si="63"/>
        <v>2.5819618345305226</v>
      </c>
      <c r="V45" s="29">
        <f t="shared" si="63"/>
        <v>3.9062283737024219</v>
      </c>
      <c r="W45" s="29">
        <f t="shared" si="63"/>
        <v>3.6866893472251756</v>
      </c>
      <c r="X45" s="29">
        <f t="shared" si="63"/>
        <v>3.407605279698303</v>
      </c>
      <c r="Y45" s="29">
        <f t="shared" si="63"/>
        <v>3.6417261373773417</v>
      </c>
      <c r="Z45" s="29">
        <f t="shared" si="63"/>
        <v>3.782230751862723</v>
      </c>
      <c r="AA45" s="29">
        <f t="shared" si="63"/>
        <v>3.4815819680684545</v>
      </c>
      <c r="AB45" s="29">
        <f t="shared" ref="AB45" si="64">AB18/AB23</f>
        <v>4.2634514435695534</v>
      </c>
      <c r="AC45" s="29"/>
      <c r="AD45" s="1"/>
      <c r="AE45" s="1"/>
      <c r="AF45" s="1"/>
    </row>
    <row r="46" spans="1:32" x14ac:dyDescent="0.3">
      <c r="A46" s="18" t="s">
        <v>97</v>
      </c>
      <c r="B46" s="17" t="s">
        <v>100</v>
      </c>
      <c r="C46" s="6" t="s">
        <v>111</v>
      </c>
      <c r="D46" s="28">
        <f t="shared" ref="D46:F46" si="65">D13/D4</f>
        <v>3.8802395209580835E-2</v>
      </c>
      <c r="E46" s="28">
        <f t="shared" si="65"/>
        <v>3.8777777777777779E-2</v>
      </c>
      <c r="F46" s="28">
        <f t="shared" si="65"/>
        <v>4.1921921921921922E-2</v>
      </c>
      <c r="G46" s="28">
        <f t="shared" ref="G46:AF46" si="66">G13/G4</f>
        <v>8.2840236686390536E-3</v>
      </c>
      <c r="H46" s="28">
        <f t="shared" si="66"/>
        <v>4.8290598290598293E-2</v>
      </c>
      <c r="I46" s="28">
        <f t="shared" si="66"/>
        <v>5.8823529411764705E-2</v>
      </c>
      <c r="J46" s="28">
        <f t="shared" si="66"/>
        <v>4.4776119402985079E-2</v>
      </c>
      <c r="K46" s="28">
        <f t="shared" si="66"/>
        <v>4.1448430493273541E-2</v>
      </c>
      <c r="L46" s="28">
        <f t="shared" si="66"/>
        <v>3.8461538461538464E-2</v>
      </c>
      <c r="M46" s="28">
        <f t="shared" si="66"/>
        <v>2.8645833333333336E-2</v>
      </c>
      <c r="N46" s="28">
        <f t="shared" si="66"/>
        <v>2.7964205816554812E-2</v>
      </c>
      <c r="O46" s="28">
        <f t="shared" si="66"/>
        <v>5.185185185185185E-2</v>
      </c>
      <c r="P46" s="28">
        <f t="shared" si="66"/>
        <v>4.9839228295819937E-2</v>
      </c>
      <c r="Q46" s="28">
        <f t="shared" si="66"/>
        <v>6.8273092369477914E-2</v>
      </c>
      <c r="R46" s="28">
        <f t="shared" si="66"/>
        <v>7.7405857740585768E-2</v>
      </c>
      <c r="S46" s="28">
        <f t="shared" si="66"/>
        <v>8.0786026200873357E-2</v>
      </c>
      <c r="T46" s="28">
        <f t="shared" si="66"/>
        <v>6.9281883997360627E-2</v>
      </c>
      <c r="U46" s="28">
        <f t="shared" si="66"/>
        <v>5.744991038936164E-2</v>
      </c>
      <c r="V46" s="28">
        <f t="shared" si="66"/>
        <v>5.5722891566265059E-2</v>
      </c>
      <c r="W46" s="28">
        <f t="shared" si="66"/>
        <v>6.5743944636678195E-2</v>
      </c>
      <c r="X46" s="28">
        <f t="shared" si="66"/>
        <v>6.7384727783432574E-2</v>
      </c>
      <c r="Y46" s="28">
        <f t="shared" si="66"/>
        <v>6.3758389261744972E-2</v>
      </c>
      <c r="Z46" s="28">
        <f t="shared" si="66"/>
        <v>5.0264550264550269E-2</v>
      </c>
      <c r="AA46" s="28">
        <f t="shared" si="66"/>
        <v>3.6850271528316526E-2</v>
      </c>
      <c r="AB46" s="28">
        <f t="shared" si="66"/>
        <v>3.9321192052980132E-2</v>
      </c>
      <c r="AC46" s="28">
        <f t="shared" si="66"/>
        <v>4.899559039686429E-2</v>
      </c>
      <c r="AD46" s="28">
        <f t="shared" si="66"/>
        <v>4.899559039686429E-2</v>
      </c>
      <c r="AE46" s="28">
        <f t="shared" si="66"/>
        <v>5.3895149436550716E-2</v>
      </c>
      <c r="AF46" s="28">
        <f t="shared" si="66"/>
        <v>5.6344928956393932E-2</v>
      </c>
    </row>
  </sheetData>
  <mergeCells count="2">
    <mergeCell ref="A6:A13"/>
    <mergeCell ref="A14:A2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37</vt:i4>
      </vt:variant>
    </vt:vector>
  </HeadingPairs>
  <TitlesOfParts>
    <vt:vector size="37" baseType="lpstr">
      <vt:lpstr>Estrutura</vt:lpstr>
      <vt:lpstr>Altri</vt:lpstr>
      <vt:lpstr>BCP</vt:lpstr>
      <vt:lpstr>Benfica SAD</vt:lpstr>
      <vt:lpstr>Cofina</vt:lpstr>
      <vt:lpstr>Conduril</vt:lpstr>
      <vt:lpstr>Corticeira Amorim</vt:lpstr>
      <vt:lpstr>CTT</vt:lpstr>
      <vt:lpstr>EDP</vt:lpstr>
      <vt:lpstr>EDP Renováveis</vt:lpstr>
      <vt:lpstr>Estoril Sol</vt:lpstr>
      <vt:lpstr>Farminveste</vt:lpstr>
      <vt:lpstr>FC Porto SAD</vt:lpstr>
      <vt:lpstr>GALP Energia</vt:lpstr>
      <vt:lpstr>Ibersol</vt:lpstr>
      <vt:lpstr>Impresa</vt:lpstr>
      <vt:lpstr>Inapa</vt:lpstr>
      <vt:lpstr>Jerónimo Martins</vt:lpstr>
      <vt:lpstr>Lisgráfica</vt:lpstr>
      <vt:lpstr>Martifer</vt:lpstr>
      <vt:lpstr>Mota-Engil</vt:lpstr>
      <vt:lpstr>Navigator</vt:lpstr>
      <vt:lpstr>NOS</vt:lpstr>
      <vt:lpstr>Novabase</vt:lpstr>
      <vt:lpstr>Orey Antunes</vt:lpstr>
      <vt:lpstr>Pharol</vt:lpstr>
      <vt:lpstr>Raize</vt:lpstr>
      <vt:lpstr>Ramada</vt:lpstr>
      <vt:lpstr>Reditus</vt:lpstr>
      <vt:lpstr>REN</vt:lpstr>
      <vt:lpstr>Semapa</vt:lpstr>
      <vt:lpstr>Sonaecom</vt:lpstr>
      <vt:lpstr>Sonae SGPS</vt:lpstr>
      <vt:lpstr>Sporting SAD</vt:lpstr>
      <vt:lpstr>Teixeira Duarte</vt:lpstr>
      <vt:lpstr>Vista Alegre Atlantis</vt:lpstr>
      <vt:lpstr>Toyota Caetano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Catarina Borja</dc:creator>
  <cp:lastModifiedBy>Cesário</cp:lastModifiedBy>
  <dcterms:created xsi:type="dcterms:W3CDTF">2018-11-13T11:07:37Z</dcterms:created>
  <dcterms:modified xsi:type="dcterms:W3CDTF">2022-02-23T11:40:32Z</dcterms:modified>
</cp:coreProperties>
</file>